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U:\Shareholders\AIR\2022\Final\"/>
    </mc:Choice>
  </mc:AlternateContent>
  <xr:revisionPtr revIDLastSave="0" documentId="13_ncr:1_{E3DC9FF2-642E-4754-B5F0-3612E5BBE3EF}" xr6:coauthVersionLast="47" xr6:coauthVersionMax="47" xr10:uidLastSave="{00000000-0000-0000-0000-000000000000}"/>
  <bookViews>
    <workbookView xWindow="-18225" yWindow="-15135" windowWidth="25965" windowHeight="13740" xr2:uid="{E4F84F8D-B8F9-4B62-B8A9-EEC2DF0388C9}"/>
  </bookViews>
  <sheets>
    <sheet name="Introduction" sheetId="2" r:id="rId1"/>
    <sheet name="Framework" sheetId="4" r:id="rId2"/>
    <sheet name="Emissions" sheetId="3" r:id="rId3"/>
    <sheet name="Water" sheetId="6" r:id="rId4"/>
    <sheet name="Waste" sheetId="5" r:id="rId5"/>
    <sheet name="Employees" sheetId="7" r:id="rId6"/>
  </sheets>
  <definedNames>
    <definedName name="_xlnm.Print_Area" localSheetId="1">Framework!$A$1:$V$36</definedName>
    <definedName name="_xlnm.Print_Titles" localSheetId="1">Framework!$A:$A,Framework!$1:$2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 i="6" l="1"/>
  <c r="Y4" i="6"/>
  <c r="C8" i="6"/>
  <c r="D8" i="6"/>
  <c r="E8" i="6"/>
  <c r="F8" i="6"/>
  <c r="G8" i="6"/>
  <c r="H8" i="6"/>
  <c r="I8" i="6"/>
  <c r="J8" i="6"/>
  <c r="C25" i="3"/>
  <c r="C23" i="3"/>
  <c r="C24" i="3"/>
  <c r="E25" i="3"/>
  <c r="F25" i="3"/>
  <c r="G25" i="3"/>
  <c r="H25" i="3"/>
  <c r="I25" i="3"/>
  <c r="J25" i="3"/>
  <c r="D25" i="3"/>
  <c r="E24" i="3"/>
  <c r="F24" i="3"/>
  <c r="G24" i="3"/>
  <c r="H24" i="3"/>
  <c r="I24" i="3"/>
  <c r="J24" i="3"/>
  <c r="D24" i="3"/>
  <c r="E23" i="3"/>
  <c r="F23" i="3"/>
  <c r="G23" i="3"/>
  <c r="H23" i="3"/>
  <c r="I23" i="3"/>
  <c r="J23" i="3"/>
  <c r="D23" i="3"/>
  <c r="R5" i="4" l="1"/>
  <c r="T5" i="4"/>
  <c r="V5" i="4" l="1"/>
  <c r="O6" i="7" l="1"/>
  <c r="K4" i="6"/>
  <c r="M4" i="6"/>
  <c r="O3" i="4" l="1"/>
  <c r="X3" i="4" l="1"/>
  <c r="R3" i="4" l="1"/>
  <c r="X8" i="4"/>
  <c r="AE25" i="7"/>
  <c r="AE27" i="7" s="1"/>
  <c r="AA25" i="7"/>
  <c r="AE6" i="7"/>
  <c r="AA6" i="7"/>
  <c r="AE4" i="5"/>
  <c r="AA4" i="5"/>
  <c r="AE17" i="3"/>
  <c r="AA17" i="3"/>
  <c r="AA14" i="3"/>
  <c r="AE14" i="3"/>
  <c r="AE12" i="3"/>
  <c r="AA12" i="3"/>
  <c r="AE8" i="3"/>
  <c r="AA8" i="3"/>
  <c r="AE6" i="3"/>
  <c r="AA6" i="3"/>
  <c r="AC25" i="7"/>
  <c r="AC23" i="7"/>
  <c r="AC27" i="7" s="1"/>
  <c r="AA23" i="7"/>
  <c r="AA27" i="7" s="1"/>
  <c r="AA9" i="7"/>
  <c r="AC9" i="7"/>
  <c r="AC6" i="7"/>
  <c r="AC4" i="5"/>
  <c r="AC17" i="3"/>
  <c r="AC12" i="3"/>
  <c r="AC14" i="3"/>
  <c r="AC8" i="3"/>
  <c r="AC6" i="3"/>
  <c r="R8" i="4" l="1"/>
  <c r="O8" i="4"/>
  <c r="T3" i="4" l="1"/>
  <c r="Y3" i="4"/>
  <c r="T8" i="4"/>
  <c r="Y8" i="4"/>
  <c r="R20" i="4"/>
  <c r="T20" i="4" l="1"/>
  <c r="V20" i="4" l="1"/>
  <c r="V3" i="4" l="1"/>
  <c r="V8" i="4" l="1"/>
</calcChain>
</file>

<file path=xl/sharedStrings.xml><?xml version="1.0" encoding="utf-8"?>
<sst xmlns="http://schemas.openxmlformats.org/spreadsheetml/2006/main" count="463" uniqueCount="282">
  <si>
    <t>Measure</t>
  </si>
  <si>
    <t>Social</t>
  </si>
  <si>
    <t>Whole number</t>
  </si>
  <si>
    <t>LTIFR per 200 000</t>
  </si>
  <si>
    <t>Total employees</t>
  </si>
  <si>
    <t>Total employees - female</t>
  </si>
  <si>
    <t>Female</t>
  </si>
  <si>
    <t>Total employees - male</t>
  </si>
  <si>
    <t>Employees with a disability</t>
  </si>
  <si>
    <t>Environmental</t>
  </si>
  <si>
    <t>Coal - usage</t>
  </si>
  <si>
    <t>kgs</t>
  </si>
  <si>
    <t>Diesel (Excl Biodiesel) - usage</t>
  </si>
  <si>
    <t>Gasoline (petrol) - usage</t>
  </si>
  <si>
    <t>LNG (liquified natural gas) - usage</t>
  </si>
  <si>
    <t>LPG (liquified petroleum gas) - usage</t>
  </si>
  <si>
    <t xml:space="preserve">Total Electricity - usage </t>
  </si>
  <si>
    <t>KWH</t>
  </si>
  <si>
    <t xml:space="preserve">Total Electricity provided by renewable resources : Solar, winds, etc </t>
  </si>
  <si>
    <t>Tonnes CO2</t>
  </si>
  <si>
    <t>Installed generator capacity in business</t>
  </si>
  <si>
    <t>Water</t>
  </si>
  <si>
    <t>Kilolitres</t>
  </si>
  <si>
    <t>Tonnes</t>
  </si>
  <si>
    <t>Hazardous Waste: Generated</t>
  </si>
  <si>
    <t xml:space="preserve">Hazardous Waste: Recycled </t>
  </si>
  <si>
    <t xml:space="preserve">Industrial Wastewater Treatment and Discharge </t>
  </si>
  <si>
    <t>cubic metres</t>
  </si>
  <si>
    <t>We are deeply invested in the communities we serve. Increasing diversity across Bidvest supports our firm commitment towards inclusive, job-rich and sustainable economic growth. We foster innovation and an environment in which employees thrive, which in turn drives our advancement across markets, geographies and society.</t>
  </si>
  <si>
    <t>A global business, forever South African, Bidvest can celebrate more than 30 years of excellence. But the Group has never been content to rest on its achievements. That is why we are constantly looking for that next moment of adaption and change: the next opportunity to transform the ordinary into the extraordinary.</t>
  </si>
  <si>
    <t xml:space="preserve">Integrated thinking and planning is deeply embedded in Bidvest, enabling the reconciliation of our purpose with our long-term commercial objectives. Our 2021 theme of “People and Products Behind a Brighter Future” guides our efforts to create value for each stakeholder group which in turn drives our focus on optimising the value of our products and services, at a sustainable cost to society. </t>
  </si>
  <si>
    <r>
      <t>Empowering entrepreneurship -</t>
    </r>
    <r>
      <rPr>
        <sz val="10.5"/>
        <color theme="1"/>
        <rFont val="Arial"/>
        <family val="2"/>
      </rPr>
      <t xml:space="preserve"> We think like customers but act like owners. Every employee has the power to make our business better.</t>
    </r>
  </si>
  <si>
    <r>
      <t xml:space="preserve">Committed to customers - </t>
    </r>
    <r>
      <rPr>
        <sz val="10.5"/>
        <color theme="1"/>
        <rFont val="Arial"/>
        <family val="2"/>
      </rPr>
      <t>We make every decision and measure our performance on how well it serves our customers. When our customers succeed and grow, we succeed and grow.</t>
    </r>
  </si>
  <si>
    <r>
      <t xml:space="preserve">Driven by excellence - </t>
    </r>
    <r>
      <rPr>
        <sz val="10.5"/>
        <color theme="1"/>
        <rFont val="Arial"/>
        <family val="2"/>
      </rPr>
      <t>We value and respect the skills, time and intentions of all our people. We strive to provide an environment where they can do, and become their best.</t>
    </r>
  </si>
  <si>
    <r>
      <t xml:space="preserve">Creating social value - </t>
    </r>
    <r>
      <rPr>
        <sz val="10.5"/>
        <color theme="1"/>
        <rFont val="Arial"/>
        <family val="2"/>
      </rPr>
      <t>We take the long view and strive to make a sustainable difference in society. We are building something worth building, that will endure the test of time.</t>
    </r>
  </si>
  <si>
    <r>
      <t xml:space="preserve">Leading by example - </t>
    </r>
    <r>
      <rPr>
        <sz val="10.5"/>
        <color theme="1"/>
        <rFont val="Arial"/>
        <family val="2"/>
      </rPr>
      <t>We do the right thing, even when no one else is looking. What is right, is different to doing what is easy</t>
    </r>
  </si>
  <si>
    <t>Our principles:</t>
  </si>
  <si>
    <t>BIDVEST: ESG Framework</t>
  </si>
  <si>
    <t>Topic</t>
  </si>
  <si>
    <t>Our aim</t>
  </si>
  <si>
    <t>Phase 2</t>
  </si>
  <si>
    <t>We will</t>
  </si>
  <si>
    <t>Measurement</t>
  </si>
  <si>
    <t>Commit ments</t>
  </si>
  <si>
    <t>Goals</t>
  </si>
  <si>
    <t>SDGs: High</t>
  </si>
  <si>
    <t>SDGs: Medium</t>
  </si>
  <si>
    <t>E1</t>
  </si>
  <si>
    <t>Own carbon footprint</t>
  </si>
  <si>
    <t>To reduce the emission intensity of our operations by 20% by 2025 from the 2019 base</t>
  </si>
  <si>
    <t>Incl Scope 3 (upstream and downstream); Quantify climate risk as per TCFD</t>
  </si>
  <si>
    <t>Continue to improve energy efficiency, shift our energy consumption to lower emission sources,  invest in renewable sources and configure our properties to be environmentally-smart</t>
  </si>
  <si>
    <t>Scope 1 and 2 emissions intensity ; % electricity sourced from renewables</t>
  </si>
  <si>
    <t>a</t>
  </si>
  <si>
    <t>2, 4</t>
  </si>
  <si>
    <t>7, 9</t>
  </si>
  <si>
    <t>E2</t>
  </si>
  <si>
    <t>Resource use</t>
  </si>
  <si>
    <t>To reduce the waste generated and water intensity in our operations by 20% by 2025 from the 2019 base</t>
  </si>
  <si>
    <t>Step up waste recycling efforts</t>
  </si>
  <si>
    <t>6, 12, 13</t>
  </si>
  <si>
    <t>Increase recycled raw material content in products and packaging whilst also making it more environmently friendly</t>
  </si>
  <si>
    <t>% product and packaging content from recycled material</t>
  </si>
  <si>
    <t xml:space="preserve">Reduce the net quantum of water used taking into account recycling </t>
  </si>
  <si>
    <t xml:space="preserve">Net water intensity </t>
  </si>
  <si>
    <t>Source product from supply chain partners that are responsible in their dealings and achieve 100% compliance by 2025 and contribute to the circular economy</t>
  </si>
  <si>
    <t>Certified input/source material from tier 1 suppliers</t>
  </si>
  <si>
    <t>Engage with these tier 1 suppliers to ensure that they have adopted the commitments described in our Ethical Purchasing Code (industry standard or equivalent environmental assessment)</t>
  </si>
  <si>
    <t>a, b, c</t>
  </si>
  <si>
    <t>12, 13</t>
  </si>
  <si>
    <t xml:space="preserve">Introduce the recovery/take-back of product at the end of life </t>
  </si>
  <si>
    <t>Quantum of items recovered</t>
  </si>
  <si>
    <t>S1</t>
  </si>
  <si>
    <t>Diversity</t>
  </si>
  <si>
    <t>Pay equality - gather data FY22</t>
  </si>
  <si>
    <t>a, b</t>
  </si>
  <si>
    <t>1, 4</t>
  </si>
  <si>
    <t>S2</t>
  </si>
  <si>
    <t>Occupational hygiene &amp; safety</t>
  </si>
  <si>
    <t>Provide safe working environment by reducing workplace injuries by 5% per annum</t>
  </si>
  <si>
    <t xml:space="preserve">Reduce workplace injuries, both serious and non-serious </t>
  </si>
  <si>
    <t>2, 3, 5</t>
  </si>
  <si>
    <t>9, 11</t>
  </si>
  <si>
    <t>Implement learnings from particular incidents &amp; regular training</t>
  </si>
  <si>
    <t>S3</t>
  </si>
  <si>
    <t>Wellbeing</t>
  </si>
  <si>
    <t>Protect and enhance livelihoods and wellbeing of our employees</t>
  </si>
  <si>
    <t>Support employees through enterprise wide employee wellness program and initiatives</t>
  </si>
  <si>
    <t># employees that participated</t>
  </si>
  <si>
    <t>b</t>
  </si>
  <si>
    <t>Continuously develop the skills of our employees and in industries in which we operate</t>
  </si>
  <si>
    <t># learnerships, internships and apprenticeships</t>
  </si>
  <si>
    <t>S4</t>
  </si>
  <si>
    <t>Labour practices and human rights in our own operations and supply chain</t>
  </si>
  <si>
    <t xml:space="preserve">To protect and advance livelihoods </t>
  </si>
  <si>
    <t>Protect and treat our own people fairly</t>
  </si>
  <si>
    <t>2, 3, 4</t>
  </si>
  <si>
    <t>8, 11</t>
  </si>
  <si>
    <t>Extend to all suppliers</t>
  </si>
  <si>
    <t>Engage with tier 1 suppliers to ensure that they have adopted the commitments described in our Supplier Code of Conduct (industry standard or equivalent labour assessment)</t>
  </si>
  <si>
    <t>S5</t>
  </si>
  <si>
    <t>Supply chain transformation</t>
  </si>
  <si>
    <t>To support local businesses in their growth aspirations</t>
  </si>
  <si>
    <t>Source locally from B-BBEE compliant suppliers. Goal is &gt;90%  sourcing from local suppliers with a Level 4, or better rating, by 2025</t>
  </si>
  <si>
    <t>% local procurement from compliant suppliers</t>
  </si>
  <si>
    <t>a, c</t>
  </si>
  <si>
    <t>1, 2, 4</t>
  </si>
  <si>
    <t>8, 12</t>
  </si>
  <si>
    <t>Governance</t>
  </si>
  <si>
    <t>G1</t>
  </si>
  <si>
    <t>Ethics</t>
  </si>
  <si>
    <t>To conduct business with uncompromising integrity</t>
  </si>
  <si>
    <t>Be honest, respectful and accountable at all times to all stakeholders</t>
  </si>
  <si>
    <t>Track of Ethics Line cases and the resolution thereof</t>
  </si>
  <si>
    <t>4, 5</t>
  </si>
  <si>
    <t xml:space="preserve">Transparently and actively monitor and manage product &amp; service safety as well as regulatory compliance </t>
  </si>
  <si>
    <t># of product recalls; # regulatory violations / fines</t>
  </si>
  <si>
    <t>G2</t>
  </si>
  <si>
    <t>Governance structures</t>
  </si>
  <si>
    <t xml:space="preserve">To provide assurance to all stakeholders through independent oversight </t>
  </si>
  <si>
    <t>Uphold the established governance structures and have a B-BBEE Level 2 rating by 2025</t>
  </si>
  <si>
    <t>G3</t>
  </si>
  <si>
    <t>Risk management</t>
  </si>
  <si>
    <t>Identify material risks, qualitative and quantitative, and mitigating them</t>
  </si>
  <si>
    <t>Formulate mitigating actions for all identified material risks. In addition, an external advisor was tasked to identify  Group risks</t>
  </si>
  <si>
    <t>Risk metrics</t>
  </si>
  <si>
    <t>G4</t>
  </si>
  <si>
    <t>Data privacy</t>
  </si>
  <si>
    <t>To comply with legislation and reduced IT-security risks</t>
  </si>
  <si>
    <t>2, 4, 5</t>
  </si>
  <si>
    <t>Implement a data privacy framework and raise internal awareness</t>
  </si>
  <si>
    <t># of employees trained</t>
  </si>
  <si>
    <t>G5</t>
  </si>
  <si>
    <t>Stakeholders</t>
  </si>
  <si>
    <t>Engage all stakeholders regularly</t>
  </si>
  <si>
    <t>Listen and respond to particular issues raised</t>
  </si>
  <si>
    <t>% of shareholder base engaged; public perception in online media; CSI spend</t>
  </si>
  <si>
    <r>
      <t>a)</t>
    </r>
    <r>
      <rPr>
        <sz val="7"/>
        <color rgb="FF000000"/>
        <rFont val="Times New Roman"/>
        <family val="1"/>
      </rPr>
      <t xml:space="preserve">       </t>
    </r>
    <r>
      <rPr>
        <sz val="11"/>
        <color rgb="FF000000"/>
        <rFont val="Calibri"/>
        <family val="2"/>
        <scheme val="minor"/>
      </rPr>
      <t>To conduct profitable business in a responsible and accountable manner;</t>
    </r>
  </si>
  <si>
    <r>
      <t>b)</t>
    </r>
    <r>
      <rPr>
        <sz val="7"/>
        <color rgb="FF000000"/>
        <rFont val="Times New Roman"/>
        <family val="1"/>
      </rPr>
      <t xml:space="preserve">      </t>
    </r>
    <r>
      <rPr>
        <sz val="11"/>
        <color rgb="FF000000"/>
        <rFont val="Calibri"/>
        <family val="2"/>
        <scheme val="minor"/>
      </rPr>
      <t>To care for the Bidvest family and the Group’s connected societies; and</t>
    </r>
  </si>
  <si>
    <r>
      <t>c)</t>
    </r>
    <r>
      <rPr>
        <sz val="7"/>
        <color rgb="FF000000"/>
        <rFont val="Times New Roman"/>
        <family val="1"/>
      </rPr>
      <t xml:space="preserve">       </t>
    </r>
    <r>
      <rPr>
        <sz val="11"/>
        <color rgb="FF000000"/>
        <rFont val="Calibri"/>
        <family val="2"/>
        <scheme val="minor"/>
      </rPr>
      <t>To drive positive change through partnerships and social dialogue.</t>
    </r>
  </si>
  <si>
    <t>Bidvest's ESG objectives:</t>
  </si>
  <si>
    <r>
      <t>1.</t>
    </r>
    <r>
      <rPr>
        <sz val="7"/>
        <color rgb="FF000000"/>
        <rFont val="Times New Roman"/>
        <family val="1"/>
      </rPr>
      <t xml:space="preserve">       </t>
    </r>
    <r>
      <rPr>
        <sz val="11"/>
        <color rgb="FF000000"/>
        <rFont val="Calibri"/>
        <family val="2"/>
        <scheme val="minor"/>
      </rPr>
      <t>Nurture people and business diversity;</t>
    </r>
  </si>
  <si>
    <r>
      <t>2.</t>
    </r>
    <r>
      <rPr>
        <sz val="7"/>
        <color rgb="FF000000"/>
        <rFont val="Times New Roman"/>
        <family val="1"/>
      </rPr>
      <t xml:space="preserve">       </t>
    </r>
    <r>
      <rPr>
        <sz val="11"/>
        <color rgb="FF000000"/>
        <rFont val="Calibri"/>
        <family val="2"/>
        <scheme val="minor"/>
      </rPr>
      <t>Unlock value through innovation and efficiencies;</t>
    </r>
  </si>
  <si>
    <r>
      <t>3.</t>
    </r>
    <r>
      <rPr>
        <sz val="7"/>
        <color rgb="FF000000"/>
        <rFont val="Times New Roman"/>
        <family val="1"/>
      </rPr>
      <t xml:space="preserve">       </t>
    </r>
    <r>
      <rPr>
        <sz val="11"/>
        <color rgb="FF000000"/>
        <rFont val="Calibri"/>
        <family val="2"/>
        <scheme val="minor"/>
      </rPr>
      <t>Represent responsibly made products;</t>
    </r>
  </si>
  <si>
    <r>
      <t>4.</t>
    </r>
    <r>
      <rPr>
        <sz val="7"/>
        <color rgb="FF000000"/>
        <rFont val="Times New Roman"/>
        <family val="1"/>
      </rPr>
      <t xml:space="preserve">       </t>
    </r>
    <r>
      <rPr>
        <sz val="11"/>
        <color rgb="FF000000"/>
        <rFont val="Calibri"/>
        <family val="2"/>
        <scheme val="minor"/>
      </rPr>
      <t xml:space="preserve">Maintain financial strength through growth, focus and discipline; and </t>
    </r>
  </si>
  <si>
    <r>
      <t>5.</t>
    </r>
    <r>
      <rPr>
        <sz val="7"/>
        <color rgb="FF000000"/>
        <rFont val="Times New Roman"/>
        <family val="1"/>
      </rPr>
      <t xml:space="preserve">       </t>
    </r>
    <r>
      <rPr>
        <sz val="11"/>
        <color rgb="FF000000"/>
        <rFont val="Calibri"/>
        <family val="2"/>
        <scheme val="minor"/>
      </rPr>
      <t>Preserve its empowering decentralized governance model.</t>
    </r>
  </si>
  <si>
    <t>Bidvest's environmental, social and governance (ESG) commitments:</t>
  </si>
  <si>
    <t>This value creation requires assessment of a wide range of environmental, social and governance performance data, delivered regularly and transparently, as incorporated in our ESG Framework. These tables offer our stakeholders a comprehensive overview of our ESG performance.</t>
  </si>
  <si>
    <t>Waste</t>
  </si>
  <si>
    <t xml:space="preserve">Employees </t>
  </si>
  <si>
    <t>Number of employees belonging to union/bargaining council</t>
  </si>
  <si>
    <t xml:space="preserve">  Black</t>
  </si>
  <si>
    <t xml:space="preserve">  Coloured</t>
  </si>
  <si>
    <t xml:space="preserve">  Indian</t>
  </si>
  <si>
    <t xml:space="preserve">  White</t>
  </si>
  <si>
    <t xml:space="preserve">  Other</t>
  </si>
  <si>
    <t xml:space="preserve">  &lt;30yrs </t>
  </si>
  <si>
    <t xml:space="preserve">  30-50yrs</t>
  </si>
  <si>
    <t xml:space="preserve">  &gt;50yrs </t>
  </si>
  <si>
    <t xml:space="preserve">Number of person hours worked – Total - employees </t>
  </si>
  <si>
    <t xml:space="preserve">Number of person hours worked – Total - contractors </t>
  </si>
  <si>
    <t xml:space="preserve">Number of fatalities - employees  </t>
  </si>
  <si>
    <t xml:space="preserve">Number of fatalities  - contractors </t>
  </si>
  <si>
    <t>CCMA/Labour court/equivalent cases lost</t>
  </si>
  <si>
    <t xml:space="preserve">Number of employees trained on health and safety standards </t>
  </si>
  <si>
    <t xml:space="preserve">Number of contractors trained on health and safety standards </t>
  </si>
  <si>
    <t>Aviation gas / fuel - usage</t>
  </si>
  <si>
    <t>litres</t>
  </si>
  <si>
    <t>Biodiesel - usage</t>
  </si>
  <si>
    <t xml:space="preserve">Residual Fuel Oil (heavy fuel oil) - usage </t>
  </si>
  <si>
    <t xml:space="preserve">litres </t>
  </si>
  <si>
    <t>KVA</t>
  </si>
  <si>
    <t xml:space="preserve">Scope 1 emissions - Fuels </t>
  </si>
  <si>
    <t>Scope 2 emissions - Electricity</t>
  </si>
  <si>
    <t xml:space="preserve">Scope 2 emmissions avoided - Electricity by renewable resources </t>
  </si>
  <si>
    <t>Emission credits - purchased, obtained via projects</t>
  </si>
  <si>
    <t>Total water - usage (municipal)</t>
  </si>
  <si>
    <t>Total water - usage from borehole, spring, etc (non-municipal)</t>
  </si>
  <si>
    <t>Solid Waste Disposal: Generated in production and/or services delivered</t>
  </si>
  <si>
    <t>Solid waste: Recycled</t>
  </si>
  <si>
    <t xml:space="preserve">Tonnes </t>
  </si>
  <si>
    <t>Freight 2018</t>
  </si>
  <si>
    <t>Freight 2019</t>
  </si>
  <si>
    <t>Freight 2020</t>
  </si>
  <si>
    <t>Freight 2021</t>
  </si>
  <si>
    <t>Services 2021</t>
  </si>
  <si>
    <t>Freight 2017</t>
  </si>
  <si>
    <t>Services 2019</t>
  </si>
  <si>
    <t>Group 2017</t>
  </si>
  <si>
    <t>Group 2018</t>
  </si>
  <si>
    <t>Group 2019</t>
  </si>
  <si>
    <t>Group 2020</t>
  </si>
  <si>
    <t>Group 2021</t>
  </si>
  <si>
    <t>%</t>
  </si>
  <si>
    <t>Automotive 2021</t>
  </si>
  <si>
    <t>Commerical Products 2021</t>
  </si>
  <si>
    <t>Financial Services 2021</t>
  </si>
  <si>
    <t>Branded Products 2021</t>
  </si>
  <si>
    <t>Automotive 2020</t>
  </si>
  <si>
    <t>Commercial Products 2020</t>
  </si>
  <si>
    <t>Financial Services 2020</t>
  </si>
  <si>
    <t>Branded Products 2020</t>
  </si>
  <si>
    <t>Services 2020</t>
  </si>
  <si>
    <t>Automotive 2019</t>
  </si>
  <si>
    <t>Commercial Products 2019</t>
  </si>
  <si>
    <t>Financial Services 2019</t>
  </si>
  <si>
    <t>Branded Products 2019</t>
  </si>
  <si>
    <t>Automotive 2018</t>
  </si>
  <si>
    <t>Commercial Products 2018</t>
  </si>
  <si>
    <t>Financial Services 2018</t>
  </si>
  <si>
    <t>Branded Products 2018</t>
  </si>
  <si>
    <t>Services 2018</t>
  </si>
  <si>
    <t>Automotive 2017</t>
  </si>
  <si>
    <t>Commercial Products 2017</t>
  </si>
  <si>
    <t>Financial Services 2017</t>
  </si>
  <si>
    <t>Branded Products 2017</t>
  </si>
  <si>
    <t>Services 2017</t>
  </si>
  <si>
    <t>Tonnes CO1</t>
  </si>
  <si>
    <t>Race profile</t>
  </si>
  <si>
    <t>Age profile</t>
  </si>
  <si>
    <t>Number of lost time injuries (1 shift or more lost) -  employees</t>
  </si>
  <si>
    <t>Number of lost time injuries (1 shift or more lost) - contractors</t>
  </si>
  <si>
    <t>Labour wellness, safety</t>
  </si>
  <si>
    <t>Workforce</t>
  </si>
  <si>
    <t>Scope 1 intensity</t>
  </si>
  <si>
    <t>Scope 2 intensity</t>
  </si>
  <si>
    <t>Water intensity</t>
  </si>
  <si>
    <t>FY2025 target</t>
  </si>
  <si>
    <t>FY2019 base</t>
  </si>
  <si>
    <t>FY2020</t>
  </si>
  <si>
    <t>FY2021</t>
  </si>
  <si>
    <t>Emission intensity</t>
  </si>
  <si>
    <t># lost CCMA cases; commit to income parity (equal pay for equal work)</t>
  </si>
  <si>
    <t>&gt;90%</t>
  </si>
  <si>
    <t>L2</t>
  </si>
  <si>
    <t>L3</t>
  </si>
  <si>
    <t>L4</t>
  </si>
  <si>
    <t>%ch'19</t>
  </si>
  <si>
    <t xml:space="preserve">African </t>
  </si>
  <si>
    <t>African</t>
  </si>
  <si>
    <t>Group 2022</t>
  </si>
  <si>
    <t>Automotive 2022</t>
  </si>
  <si>
    <t>Freight 2022</t>
  </si>
  <si>
    <t>Branded Products 2022</t>
  </si>
  <si>
    <t>Financial Services 2022</t>
  </si>
  <si>
    <t>Commerical Products 2022</t>
  </si>
  <si>
    <t>&lt;25 ('23)</t>
  </si>
  <si>
    <t>Deploy ALICE across all businesses to continuously assess data governance and basic IT hygiene. We target a score of 25 or lower by 2023</t>
  </si>
  <si>
    <t>Services Int 2022</t>
  </si>
  <si>
    <t>Services SA 2022</t>
  </si>
  <si>
    <t xml:space="preserve">FY2022 </t>
  </si>
  <si>
    <t>LfL</t>
  </si>
  <si>
    <t>% ch '21</t>
  </si>
  <si>
    <t>5,596 participants; 406 absorbed</t>
  </si>
  <si>
    <t>6,866 participants; 440 absorbed</t>
  </si>
  <si>
    <t>Quantum of recycled waste (ton)</t>
  </si>
  <si>
    <t>% electricity sourced from renewables</t>
  </si>
  <si>
    <t>% of waste generated recycled</t>
  </si>
  <si>
    <t>Major non-conformances during the year and corrective action rate</t>
  </si>
  <si>
    <t>none</t>
  </si>
  <si>
    <t>LTIFR (major injuries)</t>
  </si>
  <si>
    <t>Fatalities (workplace)</t>
  </si>
  <si>
    <t xml:space="preserve"># of employees trained on Health &amp; Safety </t>
  </si>
  <si>
    <t>% board independent</t>
  </si>
  <si>
    <t># adverse external audit findings</t>
  </si>
  <si>
    <t>B-BBEE audited rating</t>
  </si>
  <si>
    <t># of cyber/information breaches</t>
  </si>
  <si>
    <t xml:space="preserve">ALICE IT score </t>
  </si>
  <si>
    <t>Tonnes CO3</t>
  </si>
  <si>
    <t>Revenue</t>
  </si>
  <si>
    <t>To be an inclusive employer where everyone is treated equally with females at all levels making up 45% and African people 50% in SA operations by 2025 in SA</t>
  </si>
  <si>
    <t>We will actively manage appointments at top, senior and middle-management to achieve race and gender diversity</t>
  </si>
  <si>
    <t>Total employees:</t>
  </si>
  <si>
    <t>Gender and race split at top, senior and middle-management; % appointments</t>
  </si>
  <si>
    <t>Appointments - female</t>
  </si>
  <si>
    <t>Appointments - African</t>
  </si>
  <si>
    <t>5% annual reduction</t>
  </si>
  <si>
    <t>% offshore suppliers being compliant as measured by self disclosure; Major non-conformances during the year and corrective action rate</t>
  </si>
  <si>
    <t>35% externally trained; balance internal awareness</t>
  </si>
  <si>
    <t>2022 Sustainability  Data</t>
  </si>
  <si>
    <t>Reporting scope: The Bidvest Group and its operating subsidiaries excluding Adcock Ingram</t>
  </si>
  <si>
    <t>Ton of CO2e are reported using government and international GHG conversion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</si>
</sst>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_-;\-* #,##0_-;_-* &quot;-&quot;??_-;_-@_-"/>
    <numFmt numFmtId="165" formatCode="_-&quot;£&quot;* #,##0.00_-;\-&quot;£&quot;* #,##0.00_-;_-&quot;£&quot;* &quot;-&quot;??_-;_-@_-"/>
    <numFmt numFmtId="166" formatCode="_ * #,##0.00_ ;_ * \-#,##0.00_ ;_ * &quot;-&quot;??_ ;_ @_ "/>
    <numFmt numFmtId="167" formatCode="_-* #,##0.00_-;\-* #,##0.00_-;_-* \-??_-;_-@_-"/>
    <numFmt numFmtId="168" formatCode="_(\R* #,##0.00_);_(\R* \(#,##0.00\);_(\R* \-??_);_(@_)"/>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b/>
      <sz val="10"/>
      <color indexed="8"/>
      <name val="Arial"/>
      <family val="2"/>
    </font>
    <font>
      <b/>
      <sz val="14"/>
      <color indexed="8"/>
      <name val="Arial"/>
      <family val="2"/>
    </font>
    <font>
      <sz val="10"/>
      <color theme="1"/>
      <name val="Arial"/>
      <family val="2"/>
    </font>
    <font>
      <i/>
      <sz val="11"/>
      <color theme="1"/>
      <name val="Calibri"/>
      <family val="2"/>
      <scheme val="minor"/>
    </font>
    <font>
      <b/>
      <sz val="16"/>
      <color theme="1"/>
      <name val="Arial"/>
      <family val="2"/>
    </font>
    <font>
      <sz val="11"/>
      <color theme="1"/>
      <name val="Arial"/>
      <family val="2"/>
    </font>
    <font>
      <sz val="11"/>
      <name val="Arial"/>
      <family val="2"/>
    </font>
    <font>
      <sz val="11"/>
      <color rgb="FF414142"/>
      <name val="Arial"/>
      <family val="2"/>
    </font>
    <font>
      <sz val="10.5"/>
      <color rgb="FF114B87"/>
      <name val="Arial"/>
      <family val="2"/>
    </font>
    <font>
      <sz val="10.5"/>
      <color theme="1"/>
      <name val="Arial"/>
      <family val="2"/>
    </font>
    <font>
      <b/>
      <sz val="20"/>
      <color theme="1"/>
      <name val="Calibri"/>
      <family val="2"/>
      <scheme val="minor"/>
    </font>
    <font>
      <sz val="11"/>
      <color rgb="FF000000"/>
      <name val="Calibri"/>
      <family val="2"/>
      <scheme val="minor"/>
    </font>
    <font>
      <sz val="7"/>
      <color rgb="FF000000"/>
      <name val="Times New Roman"/>
      <family val="1"/>
    </font>
    <font>
      <b/>
      <sz val="14"/>
      <color theme="1"/>
      <name val="Calibri"/>
      <family val="2"/>
      <scheme val="minor"/>
    </font>
    <font>
      <b/>
      <sz val="12"/>
      <color theme="1"/>
      <name val="Calibri"/>
      <family val="2"/>
      <scheme val="minor"/>
    </font>
    <font>
      <sz val="12"/>
      <color indexed="8"/>
      <name val="Arial"/>
      <family val="2"/>
    </font>
    <font>
      <sz val="12"/>
      <color indexed="8"/>
      <name val="Verdana"/>
      <family val="2"/>
    </font>
    <font>
      <sz val="12"/>
      <color theme="1"/>
      <name val="Calibri"/>
      <family val="2"/>
      <scheme val="minor"/>
    </font>
    <font>
      <b/>
      <sz val="11"/>
      <color theme="0"/>
      <name val="Calibri"/>
      <family val="2"/>
      <scheme val="minor"/>
    </font>
    <font>
      <sz val="11"/>
      <color theme="0"/>
      <name val="Calibri"/>
      <family val="2"/>
      <scheme val="minor"/>
    </font>
    <font>
      <b/>
      <i/>
      <sz val="11"/>
      <color theme="1"/>
      <name val="Calibri"/>
      <family val="2"/>
      <scheme val="minor"/>
    </font>
    <font>
      <i/>
      <sz val="11"/>
      <color theme="0"/>
      <name val="Calibri"/>
      <family val="2"/>
      <scheme val="minor"/>
    </font>
    <font>
      <sz val="11"/>
      <name val="Calibri"/>
      <family val="2"/>
      <scheme val="minor"/>
    </font>
    <font>
      <sz val="10"/>
      <name val="Arial"/>
      <family val="2"/>
    </font>
    <font>
      <sz val="11"/>
      <color rgb="FF000000"/>
      <name val="Calibri"/>
      <family val="2"/>
      <charset val="1"/>
    </font>
    <font>
      <sz val="10"/>
      <name val="Tahoma"/>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002060"/>
        <bgColor indexed="64"/>
      </patternFill>
    </fill>
  </fills>
  <borders count="18">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theme="0" tint="-0.249977111117893"/>
      </top>
      <bottom/>
      <diagonal/>
    </border>
    <border>
      <left/>
      <right/>
      <top style="thin">
        <color theme="0" tint="-0.249977111117893"/>
      </top>
      <bottom/>
      <diagonal/>
    </border>
    <border>
      <left/>
      <right/>
      <top style="dotted">
        <color theme="0" tint="-0.24994659260841701"/>
      </top>
      <bottom style="dotted">
        <color theme="0" tint="-0.24994659260841701"/>
      </bottom>
      <diagonal/>
    </border>
    <border>
      <left/>
      <right/>
      <top style="dotted">
        <color theme="0" tint="-0.24994659260841701"/>
      </top>
      <bottom/>
      <diagonal/>
    </border>
    <border>
      <left/>
      <right/>
      <top style="dotted">
        <color theme="0" tint="-0.24994659260841701"/>
      </top>
      <bottom style="thin">
        <color indexed="64"/>
      </bottom>
      <diagonal/>
    </border>
    <border>
      <left style="thin">
        <color indexed="64"/>
      </left>
      <right/>
      <top style="thin">
        <color theme="0" tint="-0.24994659260841701"/>
      </top>
      <bottom/>
      <diagonal/>
    </border>
    <border>
      <left/>
      <right/>
      <top style="thin">
        <color theme="0" tint="-0.24994659260841701"/>
      </top>
      <bottom/>
      <diagonal/>
    </border>
    <border>
      <left/>
      <right/>
      <top style="dotted">
        <color theme="0" tint="-0.24994659260841701"/>
      </top>
      <bottom style="thin">
        <color theme="0" tint="-0.24994659260841701"/>
      </bottom>
      <diagonal/>
    </border>
    <border>
      <left/>
      <right/>
      <top/>
      <bottom style="dotted">
        <color auto="1"/>
      </bottom>
      <diagonal/>
    </border>
    <border>
      <left style="thin">
        <color indexed="64"/>
      </left>
      <right/>
      <top/>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s>
  <cellStyleXfs count="143">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Protection="0">
      <alignment vertical="top" wrapText="1"/>
    </xf>
    <xf numFmtId="43" fontId="20" fillId="0" borderId="0" applyFont="0" applyFill="0" applyBorder="0" applyAlignment="0" applyProtection="0"/>
    <xf numFmtId="9" fontId="20"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1" fillId="0" borderId="0" applyFont="0" applyFill="0" applyBorder="0" applyAlignment="0" applyProtection="0"/>
    <xf numFmtId="0" fontId="20" fillId="0" borderId="0" applyNumberFormat="0" applyFill="0" applyBorder="0" applyProtection="0">
      <alignment vertical="top" wrapText="1"/>
    </xf>
    <xf numFmtId="43" fontId="20" fillId="0" borderId="0" applyFont="0" applyFill="0" applyBorder="0" applyAlignment="0" applyProtection="0"/>
    <xf numFmtId="0" fontId="2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0" fontId="1" fillId="0" borderId="0"/>
    <xf numFmtId="43" fontId="20"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0" fontId="28" fillId="0" borderId="0"/>
    <xf numFmtId="167" fontId="28" fillId="0" borderId="0" applyBorder="0" applyProtection="0"/>
    <xf numFmtId="168" fontId="28" fillId="0" borderId="0" applyBorder="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28" fillId="0" borderId="0" applyBorder="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166"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cellStyleXfs>
  <cellXfs count="204">
    <xf numFmtId="0" fontId="0" fillId="0" borderId="0" xfId="0"/>
    <xf numFmtId="0" fontId="4" fillId="0" borderId="0" xfId="0" applyFont="1" applyAlignment="1">
      <alignment horizontal="center" vertical="top" wrapText="1"/>
    </xf>
    <xf numFmtId="164" fontId="3" fillId="0" borderId="0" xfId="1" applyNumberFormat="1" applyFont="1" applyFill="1" applyBorder="1" applyAlignment="1">
      <alignment vertical="top"/>
    </xf>
    <xf numFmtId="4" fontId="3" fillId="0" borderId="0" xfId="0" applyNumberFormat="1" applyFont="1" applyAlignment="1">
      <alignment vertical="top"/>
    </xf>
    <xf numFmtId="9" fontId="0" fillId="0" borderId="0" xfId="2" applyFont="1"/>
    <xf numFmtId="9" fontId="0" fillId="0" borderId="0" xfId="2" applyFont="1" applyBorder="1"/>
    <xf numFmtId="9" fontId="0" fillId="0" borderId="0" xfId="0" applyNumberFormat="1"/>
    <xf numFmtId="0" fontId="8" fillId="2" borderId="0" xfId="0" applyFont="1" applyFill="1"/>
    <xf numFmtId="0" fontId="0" fillId="2" borderId="0" xfId="0" applyFill="1"/>
    <xf numFmtId="0" fontId="11" fillId="0" borderId="0" xfId="0" applyFont="1" applyAlignment="1">
      <alignment wrapText="1"/>
    </xf>
    <xf numFmtId="0" fontId="11" fillId="0" borderId="0" xfId="0" applyFont="1" applyAlignment="1">
      <alignment vertical="center" wrapText="1"/>
    </xf>
    <xf numFmtId="0" fontId="0" fillId="0" borderId="0" xfId="0" applyAlignment="1">
      <alignment wrapText="1"/>
    </xf>
    <xf numFmtId="49" fontId="9" fillId="2" borderId="0" xfId="0" applyNumberFormat="1" applyFont="1" applyFill="1" applyAlignment="1">
      <alignment vertical="top"/>
    </xf>
    <xf numFmtId="0" fontId="0" fillId="2" borderId="0" xfId="0" applyFill="1" applyAlignment="1">
      <alignment wrapText="1"/>
    </xf>
    <xf numFmtId="0" fontId="12" fillId="2" borderId="0" xfId="0" applyFont="1" applyFill="1" applyAlignment="1">
      <alignment vertical="center" wrapText="1"/>
    </xf>
    <xf numFmtId="49" fontId="10" fillId="2" borderId="0" xfId="0" applyNumberFormat="1"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center"/>
    </xf>
    <xf numFmtId="0" fontId="11" fillId="2" borderId="0" xfId="0" applyFont="1" applyFill="1" applyAlignment="1">
      <alignment vertical="center" wrapText="1"/>
    </xf>
    <xf numFmtId="0" fontId="14" fillId="0" borderId="1" xfId="0" applyFont="1" applyBorder="1"/>
    <xf numFmtId="0" fontId="0" fillId="0" borderId="0" xfId="0" applyAlignment="1">
      <alignment textRotation="90"/>
    </xf>
    <xf numFmtId="0" fontId="0" fillId="0" borderId="2" xfId="0" applyBorder="1"/>
    <xf numFmtId="0" fontId="0" fillId="0" borderId="3" xfId="0" applyBorder="1" applyAlignment="1">
      <alignment textRotation="90"/>
    </xf>
    <xf numFmtId="0" fontId="2" fillId="0" borderId="3" xfId="0" applyFont="1" applyBorder="1"/>
    <xf numFmtId="0" fontId="2" fillId="0" borderId="3" xfId="0" applyFont="1" applyBorder="1" applyAlignment="1">
      <alignment horizontal="center" textRotation="90" wrapText="1"/>
    </xf>
    <xf numFmtId="0" fontId="2" fillId="0" borderId="3" xfId="0" applyFont="1" applyBorder="1" applyAlignment="1">
      <alignment textRotation="90" wrapText="1"/>
    </xf>
    <xf numFmtId="0" fontId="0" fillId="0" borderId="3" xfId="0" applyBorder="1" applyAlignment="1">
      <alignment wrapText="1"/>
    </xf>
    <xf numFmtId="0" fontId="0" fillId="0" borderId="3" xfId="0" applyBorder="1"/>
    <xf numFmtId="0" fontId="0" fillId="3" borderId="5" xfId="0" applyFill="1" applyBorder="1" applyAlignment="1">
      <alignment vertical="top" textRotation="90"/>
    </xf>
    <xf numFmtId="0" fontId="0" fillId="0" borderId="5" xfId="0" applyBorder="1" applyAlignment="1">
      <alignment vertical="top" wrapText="1"/>
    </xf>
    <xf numFmtId="0" fontId="0" fillId="0" borderId="5" xfId="0" applyBorder="1" applyAlignment="1">
      <alignment wrapText="1"/>
    </xf>
    <xf numFmtId="0" fontId="0" fillId="0" borderId="5" xfId="0" applyBorder="1" applyAlignment="1">
      <alignment horizontal="left" vertical="top" wrapText="1"/>
    </xf>
    <xf numFmtId="0" fontId="0" fillId="3" borderId="6" xfId="0" applyFill="1" applyBorder="1" applyAlignment="1">
      <alignment vertical="top" textRotation="90"/>
    </xf>
    <xf numFmtId="0" fontId="0" fillId="0" borderId="7" xfId="0" applyBorder="1" applyAlignment="1">
      <alignment vertical="top" wrapText="1"/>
    </xf>
    <xf numFmtId="0" fontId="0" fillId="0" borderId="7" xfId="0" applyBorder="1"/>
    <xf numFmtId="0" fontId="0" fillId="0" borderId="7" xfId="0" applyBorder="1" applyAlignment="1">
      <alignment horizontal="left" vertical="top" wrapText="1"/>
    </xf>
    <xf numFmtId="164" fontId="0" fillId="0" borderId="0" xfId="1" applyNumberFormat="1" applyFont="1"/>
    <xf numFmtId="0" fontId="0" fillId="3" borderId="0" xfId="0" applyFill="1" applyAlignment="1">
      <alignment textRotation="90"/>
    </xf>
    <xf numFmtId="0" fontId="0" fillId="0" borderId="0" xfId="0" applyAlignment="1">
      <alignment vertical="top" wrapText="1"/>
    </xf>
    <xf numFmtId="0" fontId="0" fillId="0" borderId="8" xfId="0" applyBorder="1" applyAlignment="1">
      <alignment vertical="top" wrapText="1"/>
    </xf>
    <xf numFmtId="0" fontId="0" fillId="0" borderId="0" xfId="0" applyAlignment="1">
      <alignment vertical="top"/>
    </xf>
    <xf numFmtId="0" fontId="0" fillId="0" borderId="9" xfId="0" applyBorder="1" applyAlignment="1">
      <alignment vertical="top" wrapText="1"/>
    </xf>
    <xf numFmtId="0" fontId="0" fillId="0" borderId="9" xfId="0" applyBorder="1" applyAlignment="1">
      <alignment horizontal="left" vertical="top"/>
    </xf>
    <xf numFmtId="0" fontId="0" fillId="0" borderId="9" xfId="0" applyBorder="1" applyAlignment="1">
      <alignment horizontal="left" vertical="top" wrapText="1"/>
    </xf>
    <xf numFmtId="0" fontId="0" fillId="0" borderId="9" xfId="0" applyBorder="1" applyAlignment="1">
      <alignment vertical="top"/>
    </xf>
    <xf numFmtId="0" fontId="0" fillId="3" borderId="3" xfId="0" applyFill="1" applyBorder="1" applyAlignment="1">
      <alignment textRotation="90"/>
    </xf>
    <xf numFmtId="0" fontId="0" fillId="0" borderId="3" xfId="0" applyBorder="1" applyAlignment="1">
      <alignment vertical="top" wrapText="1"/>
    </xf>
    <xf numFmtId="0" fontId="0" fillId="0" borderId="10" xfId="0" applyBorder="1" applyAlignment="1">
      <alignment vertical="top" wrapText="1"/>
    </xf>
    <xf numFmtId="0" fontId="0" fillId="4" borderId="11" xfId="0" applyFill="1" applyBorder="1" applyAlignment="1">
      <alignment vertical="top" textRotation="90"/>
    </xf>
    <xf numFmtId="0" fontId="0" fillId="0" borderId="12" xfId="0" applyBorder="1" applyAlignment="1">
      <alignment vertical="top" wrapText="1"/>
    </xf>
    <xf numFmtId="0" fontId="0" fillId="0" borderId="12" xfId="0" applyBorder="1" applyAlignment="1">
      <alignment wrapText="1"/>
    </xf>
    <xf numFmtId="0" fontId="0" fillId="0" borderId="12" xfId="0" applyBorder="1" applyAlignment="1">
      <alignment horizontal="left" vertical="top" wrapText="1"/>
    </xf>
    <xf numFmtId="0" fontId="0" fillId="4" borderId="0" xfId="0" applyFill="1" applyAlignment="1">
      <alignment vertical="top" textRotation="90"/>
    </xf>
    <xf numFmtId="0" fontId="0" fillId="0" borderId="9" xfId="0" applyBorder="1" applyAlignment="1">
      <alignment wrapText="1"/>
    </xf>
    <xf numFmtId="0" fontId="0" fillId="0" borderId="0" xfId="0" applyAlignment="1">
      <alignment horizontal="left" vertical="top"/>
    </xf>
    <xf numFmtId="0" fontId="0" fillId="0" borderId="12" xfId="0" applyBorder="1" applyAlignment="1">
      <alignment vertical="top"/>
    </xf>
    <xf numFmtId="0" fontId="0" fillId="0" borderId="13" xfId="0" applyBorder="1" applyAlignment="1">
      <alignment wrapText="1"/>
    </xf>
    <xf numFmtId="0" fontId="0" fillId="5" borderId="0" xfId="0" applyFill="1" applyAlignment="1">
      <alignment vertical="top" textRotation="90"/>
    </xf>
    <xf numFmtId="0" fontId="0" fillId="5" borderId="11" xfId="0" applyFill="1" applyBorder="1" applyAlignment="1">
      <alignment vertical="top" textRotation="90"/>
    </xf>
    <xf numFmtId="0" fontId="0" fillId="5" borderId="3" xfId="0" applyFill="1" applyBorder="1" applyAlignment="1">
      <alignment vertical="top" textRotation="90"/>
    </xf>
    <xf numFmtId="0" fontId="2" fillId="5" borderId="1" xfId="0" applyFont="1" applyFill="1" applyBorder="1" applyAlignment="1">
      <alignment vertical="center" textRotation="255"/>
    </xf>
    <xf numFmtId="0" fontId="0" fillId="5" borderId="14" xfId="0" applyFill="1" applyBorder="1" applyAlignment="1">
      <alignment vertical="top" textRotation="90"/>
    </xf>
    <xf numFmtId="0" fontId="0" fillId="0" borderId="14" xfId="0" applyBorder="1"/>
    <xf numFmtId="0" fontId="0" fillId="0" borderId="14" xfId="0" applyBorder="1" applyAlignment="1">
      <alignment wrapText="1"/>
    </xf>
    <xf numFmtId="0" fontId="7" fillId="5" borderId="0" xfId="0" applyFont="1" applyFill="1" applyAlignment="1">
      <alignment vertical="top" textRotation="90"/>
    </xf>
    <xf numFmtId="0" fontId="7" fillId="0" borderId="0" xfId="0" applyFont="1" applyAlignment="1">
      <alignment vertical="top"/>
    </xf>
    <xf numFmtId="0" fontId="7" fillId="0" borderId="0" xfId="0" applyFont="1"/>
    <xf numFmtId="0" fontId="7" fillId="0" borderId="0" xfId="0" applyFont="1" applyAlignment="1">
      <alignment vertical="top" wrapText="1"/>
    </xf>
    <xf numFmtId="0" fontId="7" fillId="0" borderId="0" xfId="0" applyFont="1" applyAlignment="1">
      <alignment wrapText="1"/>
    </xf>
    <xf numFmtId="0" fontId="0" fillId="0" borderId="1" xfId="0" applyBorder="1"/>
    <xf numFmtId="0" fontId="0" fillId="4" borderId="15" xfId="0" applyFill="1" applyBorder="1" applyAlignment="1">
      <alignment vertical="top" textRotation="90"/>
    </xf>
    <xf numFmtId="0" fontId="0" fillId="0" borderId="0" xfId="0" applyAlignment="1">
      <alignment horizontal="left" vertical="top" wrapText="1"/>
    </xf>
    <xf numFmtId="0" fontId="0" fillId="0" borderId="3" xfId="0" applyBorder="1" applyAlignment="1">
      <alignment vertical="top"/>
    </xf>
    <xf numFmtId="0" fontId="3" fillId="0" borderId="0" xfId="0" applyFont="1" applyAlignment="1">
      <alignment horizontal="left" vertical="top"/>
    </xf>
    <xf numFmtId="0" fontId="3" fillId="0" borderId="0" xfId="0" applyFont="1" applyAlignment="1">
      <alignment vertical="top"/>
    </xf>
    <xf numFmtId="164" fontId="3" fillId="0" borderId="0" xfId="1" applyNumberFormat="1" applyFont="1" applyBorder="1" applyAlignment="1">
      <alignment vertical="top"/>
    </xf>
    <xf numFmtId="0" fontId="5" fillId="0" borderId="0" xfId="0" applyFont="1" applyAlignment="1">
      <alignment horizontal="left"/>
    </xf>
    <xf numFmtId="1" fontId="4" fillId="0" borderId="0" xfId="0" applyNumberFormat="1" applyFont="1"/>
    <xf numFmtId="43" fontId="4" fillId="0" borderId="0" xfId="1" applyFont="1" applyFill="1" applyBorder="1" applyAlignment="1"/>
    <xf numFmtId="0" fontId="6" fillId="0" borderId="0" xfId="0" applyFont="1" applyAlignment="1">
      <alignment horizontal="left" vertical="top"/>
    </xf>
    <xf numFmtId="0" fontId="6" fillId="0" borderId="0" xfId="0" applyFont="1" applyAlignment="1">
      <alignment vertical="top"/>
    </xf>
    <xf numFmtId="164" fontId="6" fillId="0" borderId="0" xfId="1" applyNumberFormat="1" applyFont="1" applyFill="1" applyBorder="1" applyAlignment="1">
      <alignment vertical="top"/>
    </xf>
    <xf numFmtId="0" fontId="4" fillId="0" borderId="0" xfId="0" applyFont="1" applyAlignment="1">
      <alignment horizontal="left" vertical="top"/>
    </xf>
    <xf numFmtId="0" fontId="4" fillId="0" borderId="0" xfId="0" applyFont="1" applyAlignment="1">
      <alignment vertical="top"/>
    </xf>
    <xf numFmtId="164" fontId="4" fillId="0" borderId="0" xfId="1" applyNumberFormat="1" applyFont="1" applyFill="1" applyBorder="1" applyAlignment="1">
      <alignment vertical="top"/>
    </xf>
    <xf numFmtId="164" fontId="4" fillId="0" borderId="0" xfId="1" applyNumberFormat="1" applyFont="1" applyBorder="1" applyAlignment="1">
      <alignment vertical="top"/>
    </xf>
    <xf numFmtId="0" fontId="17" fillId="0" borderId="0" xfId="0" applyFont="1"/>
    <xf numFmtId="0" fontId="18" fillId="0" borderId="0" xfId="0" applyFont="1"/>
    <xf numFmtId="1" fontId="3" fillId="0" borderId="0" xfId="0" applyNumberFormat="1" applyFont="1"/>
    <xf numFmtId="164" fontId="3" fillId="0" borderId="0" xfId="1" applyNumberFormat="1" applyFont="1" applyBorder="1"/>
    <xf numFmtId="0" fontId="19" fillId="0" borderId="0" xfId="0" applyFont="1" applyAlignment="1">
      <alignment horizontal="left"/>
    </xf>
    <xf numFmtId="164" fontId="21" fillId="0" borderId="0" xfId="1" applyNumberFormat="1" applyFont="1" applyFill="1" applyBorder="1" applyAlignment="1"/>
    <xf numFmtId="164" fontId="21" fillId="0" borderId="0" xfId="1" applyNumberFormat="1" applyFont="1" applyFill="1" applyBorder="1" applyAlignment="1">
      <alignment vertical="top"/>
    </xf>
    <xf numFmtId="164" fontId="18" fillId="0" borderId="0" xfId="1" applyNumberFormat="1" applyFont="1" applyFill="1" applyBorder="1" applyAlignment="1">
      <alignment vertical="center"/>
    </xf>
    <xf numFmtId="164" fontId="21" fillId="0" borderId="0" xfId="1" applyNumberFormat="1" applyFont="1" applyFill="1" applyBorder="1" applyAlignment="1">
      <alignment vertical="center"/>
    </xf>
    <xf numFmtId="164" fontId="18" fillId="0" borderId="0" xfId="1" applyNumberFormat="1" applyFont="1" applyFill="1" applyBorder="1" applyAlignment="1"/>
    <xf numFmtId="164" fontId="18" fillId="0" borderId="0" xfId="1" applyNumberFormat="1" applyFont="1" applyFill="1" applyBorder="1" applyAlignment="1">
      <alignment vertical="top"/>
    </xf>
    <xf numFmtId="43" fontId="21" fillId="0" borderId="0" xfId="1" applyFont="1" applyFill="1" applyBorder="1" applyAlignment="1">
      <alignment horizontal="center" vertical="center"/>
    </xf>
    <xf numFmtId="3" fontId="21" fillId="0" borderId="0" xfId="3" applyNumberFormat="1" applyFont="1" applyFill="1" applyBorder="1" applyAlignment="1"/>
    <xf numFmtId="164" fontId="21" fillId="0" borderId="0" xfId="1" applyNumberFormat="1" applyFont="1" applyFill="1" applyBorder="1" applyAlignment="1">
      <alignment horizontal="center" vertical="center"/>
    </xf>
    <xf numFmtId="164" fontId="21" fillId="0" borderId="0" xfId="1" applyNumberFormat="1" applyFont="1" applyFill="1" applyBorder="1" applyAlignment="1">
      <alignment horizontal="right" vertical="top"/>
    </xf>
    <xf numFmtId="9" fontId="21" fillId="0" borderId="0" xfId="2" applyFont="1" applyFill="1" applyBorder="1" applyAlignment="1">
      <alignment horizontal="center" vertical="center"/>
    </xf>
    <xf numFmtId="9" fontId="21" fillId="0" borderId="0" xfId="2" applyFont="1" applyFill="1" applyBorder="1" applyAlignment="1">
      <alignment vertical="top"/>
    </xf>
    <xf numFmtId="0" fontId="2" fillId="0" borderId="0" xfId="0" applyFont="1"/>
    <xf numFmtId="9" fontId="21" fillId="0" borderId="0" xfId="2" applyFont="1" applyFill="1" applyBorder="1" applyAlignment="1"/>
    <xf numFmtId="164" fontId="21" fillId="6" borderId="0" xfId="1" applyNumberFormat="1" applyFont="1" applyFill="1" applyBorder="1" applyAlignment="1">
      <alignment horizontal="center" vertical="center" wrapText="1"/>
    </xf>
    <xf numFmtId="164" fontId="21" fillId="6" borderId="0" xfId="1" applyNumberFormat="1" applyFont="1" applyFill="1" applyBorder="1" applyAlignment="1">
      <alignment horizontal="center" wrapText="1"/>
    </xf>
    <xf numFmtId="0" fontId="21" fillId="6" borderId="0" xfId="3" applyNumberFormat="1" applyFont="1" applyFill="1" applyBorder="1" applyAlignment="1">
      <alignment horizontal="center" wrapText="1"/>
    </xf>
    <xf numFmtId="1" fontId="21" fillId="6" borderId="0" xfId="3" applyNumberFormat="1" applyFont="1" applyFill="1" applyBorder="1" applyAlignment="1">
      <alignment horizontal="center" wrapText="1"/>
    </xf>
    <xf numFmtId="0" fontId="0" fillId="6" borderId="0" xfId="0" applyFill="1"/>
    <xf numFmtId="43" fontId="21" fillId="0" borderId="0" xfId="1" applyFont="1" applyFill="1" applyBorder="1" applyAlignment="1"/>
    <xf numFmtId="43" fontId="0" fillId="0" borderId="0" xfId="1" applyFont="1"/>
    <xf numFmtId="164" fontId="21" fillId="0" borderId="15" xfId="1" applyNumberFormat="1" applyFont="1" applyFill="1" applyBorder="1" applyAlignment="1"/>
    <xf numFmtId="164" fontId="21" fillId="0" borderId="15" xfId="1" applyNumberFormat="1" applyFont="1" applyFill="1" applyBorder="1" applyAlignment="1">
      <alignment vertical="top"/>
    </xf>
    <xf numFmtId="164" fontId="21" fillId="0" borderId="15" xfId="1" applyNumberFormat="1" applyFont="1" applyFill="1" applyBorder="1" applyAlignment="1">
      <alignment horizontal="center" vertical="center"/>
    </xf>
    <xf numFmtId="43" fontId="21" fillId="0" borderId="15" xfId="1" applyFont="1" applyFill="1" applyBorder="1" applyAlignment="1"/>
    <xf numFmtId="0" fontId="0" fillId="0" borderId="15" xfId="0" applyBorder="1"/>
    <xf numFmtId="0" fontId="0" fillId="3" borderId="0" xfId="0" applyFill="1" applyAlignment="1">
      <alignment vertical="top" textRotation="90"/>
    </xf>
    <xf numFmtId="0" fontId="0" fillId="0" borderId="3" xfId="0" applyBorder="1" applyAlignment="1">
      <alignment horizontal="left" vertical="top" wrapText="1"/>
    </xf>
    <xf numFmtId="0" fontId="0" fillId="0" borderId="0" xfId="0" applyAlignment="1">
      <alignment vertical="center" wrapText="1"/>
    </xf>
    <xf numFmtId="0" fontId="0" fillId="7" borderId="0" xfId="0" applyFill="1"/>
    <xf numFmtId="0" fontId="23" fillId="7" borderId="0" xfId="0" applyFont="1" applyFill="1"/>
    <xf numFmtId="0" fontId="23" fillId="7" borderId="3" xfId="0" applyFont="1" applyFill="1" applyBorder="1"/>
    <xf numFmtId="0" fontId="7" fillId="0" borderId="3" xfId="0" applyFont="1" applyBorder="1"/>
    <xf numFmtId="9" fontId="7" fillId="0" borderId="0" xfId="2" applyFont="1"/>
    <xf numFmtId="43" fontId="2" fillId="0" borderId="0" xfId="0" applyNumberFormat="1" applyFont="1"/>
    <xf numFmtId="9" fontId="24" fillId="0" borderId="0" xfId="2" applyFont="1"/>
    <xf numFmtId="43" fontId="22" fillId="7" borderId="0" xfId="0" applyNumberFormat="1" applyFont="1" applyFill="1"/>
    <xf numFmtId="0" fontId="22" fillId="7" borderId="0" xfId="0" applyFont="1" applyFill="1" applyAlignment="1">
      <alignment wrapText="1"/>
    </xf>
    <xf numFmtId="0" fontId="24" fillId="0" borderId="0" xfId="0" applyFont="1"/>
    <xf numFmtId="164" fontId="2" fillId="0" borderId="0" xfId="1" applyNumberFormat="1" applyFont="1"/>
    <xf numFmtId="1" fontId="2" fillId="0" borderId="0" xfId="0" applyNumberFormat="1" applyFont="1"/>
    <xf numFmtId="9" fontId="0" fillId="0" borderId="0" xfId="2" applyFont="1" applyFill="1"/>
    <xf numFmtId="0" fontId="7" fillId="5" borderId="11" xfId="0" applyFont="1" applyFill="1" applyBorder="1" applyAlignment="1">
      <alignment vertical="top" textRotation="90"/>
    </xf>
    <xf numFmtId="0" fontId="7" fillId="0" borderId="12" xfId="0" applyFont="1" applyBorder="1" applyAlignment="1">
      <alignment vertical="top" wrapText="1"/>
    </xf>
    <xf numFmtId="0" fontId="7" fillId="0" borderId="12" xfId="0" applyFont="1" applyBorder="1" applyAlignment="1">
      <alignment wrapText="1"/>
    </xf>
    <xf numFmtId="0" fontId="7" fillId="0" borderId="12" xfId="0" applyFont="1" applyBorder="1" applyAlignment="1">
      <alignment horizontal="left" vertical="top" wrapText="1"/>
    </xf>
    <xf numFmtId="0" fontId="0" fillId="4" borderId="16" xfId="0" applyFill="1" applyBorder="1" applyAlignment="1">
      <alignment vertical="top" textRotation="90"/>
    </xf>
    <xf numFmtId="0" fontId="0" fillId="0" borderId="17" xfId="0" applyBorder="1" applyAlignment="1">
      <alignment vertical="top" wrapText="1"/>
    </xf>
    <xf numFmtId="0" fontId="0" fillId="0" borderId="17" xfId="0" applyBorder="1" applyAlignment="1">
      <alignment wrapText="1"/>
    </xf>
    <xf numFmtId="0" fontId="0" fillId="0" borderId="17" xfId="0" applyBorder="1" applyAlignment="1">
      <alignment horizontal="left" vertical="top" wrapText="1"/>
    </xf>
    <xf numFmtId="9" fontId="2" fillId="0" borderId="3" xfId="0" applyNumberFormat="1" applyFont="1" applyBorder="1"/>
    <xf numFmtId="9" fontId="2" fillId="0" borderId="3" xfId="2" applyFont="1" applyBorder="1"/>
    <xf numFmtId="0" fontId="24" fillId="0" borderId="3" xfId="0" applyFont="1" applyBorder="1"/>
    <xf numFmtId="0" fontId="2" fillId="0" borderId="0" xfId="0" applyFont="1" applyAlignment="1">
      <alignment horizontal="right"/>
    </xf>
    <xf numFmtId="0" fontId="24" fillId="0" borderId="0" xfId="0" applyFont="1" applyAlignment="1">
      <alignment horizontal="right"/>
    </xf>
    <xf numFmtId="0" fontId="2" fillId="0" borderId="0" xfId="0" applyFont="1" applyAlignment="1">
      <alignment horizontal="left" indent="1"/>
    </xf>
    <xf numFmtId="0" fontId="22" fillId="7" borderId="0" xfId="0" applyFont="1" applyFill="1" applyAlignment="1">
      <alignment horizontal="left" indent="1"/>
    </xf>
    <xf numFmtId="0" fontId="22" fillId="7" borderId="3" xfId="0" applyFont="1" applyFill="1" applyBorder="1" applyAlignment="1">
      <alignment horizontal="right"/>
    </xf>
    <xf numFmtId="0" fontId="22" fillId="7" borderId="0" xfId="0" quotePrefix="1" applyFont="1" applyFill="1" applyAlignment="1">
      <alignment horizontal="right" wrapText="1"/>
    </xf>
    <xf numFmtId="0" fontId="22" fillId="7" borderId="0" xfId="0" applyFont="1" applyFill="1" applyAlignment="1">
      <alignment horizontal="right"/>
    </xf>
    <xf numFmtId="0" fontId="0" fillId="7" borderId="0" xfId="0" applyFill="1" applyAlignment="1">
      <alignment horizontal="right"/>
    </xf>
    <xf numFmtId="9" fontId="22" fillId="7" borderId="0" xfId="0" applyNumberFormat="1" applyFont="1" applyFill="1" applyAlignment="1">
      <alignment horizontal="right"/>
    </xf>
    <xf numFmtId="0" fontId="2" fillId="0" borderId="3" xfId="0" applyFont="1" applyBorder="1" applyAlignment="1">
      <alignment wrapText="1"/>
    </xf>
    <xf numFmtId="0" fontId="22" fillId="7" borderId="3" xfId="0" applyFont="1" applyFill="1" applyBorder="1" applyAlignment="1">
      <alignment wrapText="1"/>
    </xf>
    <xf numFmtId="164" fontId="2" fillId="0" borderId="0" xfId="0" applyNumberFormat="1" applyFont="1"/>
    <xf numFmtId="164" fontId="22" fillId="7" borderId="0" xfId="0" applyNumberFormat="1" applyFont="1" applyFill="1"/>
    <xf numFmtId="164" fontId="24" fillId="0" borderId="0" xfId="0" applyNumberFormat="1" applyFont="1"/>
    <xf numFmtId="164" fontId="24" fillId="0" borderId="0" xfId="2" applyNumberFormat="1" applyFont="1"/>
    <xf numFmtId="9" fontId="7" fillId="0" borderId="0" xfId="2" applyFont="1" applyFill="1"/>
    <xf numFmtId="9" fontId="0" fillId="0" borderId="0" xfId="2" applyFont="1" applyFill="1" applyBorder="1"/>
    <xf numFmtId="9" fontId="2" fillId="0" borderId="3" xfId="2" applyFont="1" applyFill="1" applyBorder="1"/>
    <xf numFmtId="3" fontId="0" fillId="0" borderId="0" xfId="0" applyNumberFormat="1" applyAlignment="1">
      <alignment horizontal="center" vertical="center"/>
    </xf>
    <xf numFmtId="0" fontId="0" fillId="0" borderId="0" xfId="0" applyAlignment="1">
      <alignment horizontal="center" vertical="center"/>
    </xf>
    <xf numFmtId="9" fontId="0" fillId="0" borderId="0" xfId="2" applyFont="1" applyAlignment="1">
      <alignment horizontal="center" vertical="center"/>
    </xf>
    <xf numFmtId="1" fontId="0" fillId="0" borderId="0" xfId="0" applyNumberFormat="1" applyAlignment="1">
      <alignment horizontal="center" vertical="center"/>
    </xf>
    <xf numFmtId="43" fontId="23" fillId="7" borderId="0" xfId="0" applyNumberFormat="1" applyFont="1" applyFill="1"/>
    <xf numFmtId="9" fontId="7" fillId="0" borderId="0" xfId="2" applyFont="1" applyBorder="1"/>
    <xf numFmtId="9" fontId="26" fillId="0" borderId="0" xfId="2" applyFont="1" applyBorder="1"/>
    <xf numFmtId="0" fontId="7" fillId="0" borderId="0" xfId="0" applyFont="1" applyAlignment="1">
      <alignment vertical="center" wrapText="1"/>
    </xf>
    <xf numFmtId="0" fontId="25" fillId="7" borderId="0" xfId="0" applyFont="1" applyFill="1"/>
    <xf numFmtId="9" fontId="26" fillId="0" borderId="0" xfId="0" applyNumberFormat="1" applyFont="1" applyAlignment="1">
      <alignment wrapText="1"/>
    </xf>
    <xf numFmtId="0" fontId="26" fillId="0" borderId="0" xfId="0" applyFont="1" applyAlignment="1">
      <alignment wrapText="1"/>
    </xf>
    <xf numFmtId="164" fontId="0" fillId="0" borderId="0" xfId="1" applyNumberFormat="1" applyFont="1" applyBorder="1"/>
    <xf numFmtId="1" fontId="0" fillId="0" borderId="0" xfId="0" applyNumberFormat="1"/>
    <xf numFmtId="43" fontId="21" fillId="0" borderId="0" xfId="1" applyFont="1" applyFill="1" applyBorder="1" applyAlignment="1">
      <alignment vertical="top"/>
    </xf>
    <xf numFmtId="9" fontId="21" fillId="0" borderId="0" xfId="2" applyFont="1" applyFill="1" applyBorder="1" applyAlignment="1">
      <alignment horizontal="right" vertical="center"/>
    </xf>
    <xf numFmtId="0" fontId="21" fillId="6" borderId="15" xfId="3" applyNumberFormat="1" applyFont="1" applyFill="1" applyBorder="1" applyAlignment="1">
      <alignment horizontal="center" wrapText="1"/>
    </xf>
    <xf numFmtId="164" fontId="21" fillId="6" borderId="15" xfId="1" applyNumberFormat="1" applyFont="1" applyFill="1" applyBorder="1" applyAlignment="1">
      <alignment horizontal="center" wrapText="1"/>
    </xf>
    <xf numFmtId="164" fontId="1" fillId="0" borderId="15" xfId="1" applyNumberFormat="1" applyFont="1" applyBorder="1"/>
    <xf numFmtId="0" fontId="3" fillId="0" borderId="15" xfId="0" applyFont="1" applyBorder="1" applyAlignment="1">
      <alignment horizontal="center" vertical="top" wrapText="1"/>
    </xf>
    <xf numFmtId="43" fontId="3" fillId="0" borderId="15" xfId="1" applyFont="1" applyFill="1" applyBorder="1" applyAlignment="1"/>
    <xf numFmtId="164" fontId="3" fillId="0" borderId="15" xfId="1" applyNumberFormat="1" applyFont="1" applyFill="1" applyBorder="1" applyAlignment="1">
      <alignment vertical="top"/>
    </xf>
    <xf numFmtId="164" fontId="6" fillId="0" borderId="15" xfId="1" applyNumberFormat="1" applyFont="1" applyFill="1" applyBorder="1" applyAlignment="1">
      <alignment vertical="top"/>
    </xf>
    <xf numFmtId="164" fontId="3" fillId="0" borderId="15" xfId="1" applyNumberFormat="1" applyFont="1" applyBorder="1" applyAlignment="1">
      <alignment vertical="top"/>
    </xf>
    <xf numFmtId="164" fontId="18" fillId="0" borderId="15" xfId="1" applyNumberFormat="1" applyFont="1" applyFill="1" applyBorder="1" applyAlignment="1"/>
    <xf numFmtId="164" fontId="0" fillId="0" borderId="15" xfId="1" applyNumberFormat="1" applyFont="1" applyBorder="1"/>
    <xf numFmtId="164" fontId="18" fillId="0" borderId="15" xfId="1" applyNumberFormat="1" applyFont="1" applyFill="1" applyBorder="1" applyAlignment="1">
      <alignment vertical="top"/>
    </xf>
    <xf numFmtId="164" fontId="18" fillId="0" borderId="15" xfId="1" applyNumberFormat="1" applyFont="1" applyFill="1" applyBorder="1" applyAlignment="1">
      <alignment horizontal="center" vertical="center"/>
    </xf>
    <xf numFmtId="164" fontId="3" fillId="0" borderId="15" xfId="1" applyNumberFormat="1" applyFont="1" applyBorder="1"/>
    <xf numFmtId="9" fontId="23" fillId="7" borderId="0" xfId="0" applyNumberFormat="1" applyFont="1" applyFill="1"/>
    <xf numFmtId="0" fontId="7" fillId="2" borderId="0" xfId="0" applyFont="1" applyFill="1"/>
    <xf numFmtId="9" fontId="24" fillId="0" borderId="0" xfId="2" applyFont="1" applyFill="1"/>
    <xf numFmtId="9" fontId="7" fillId="0" borderId="0" xfId="2" applyFont="1" applyFill="1" applyBorder="1"/>
    <xf numFmtId="43" fontId="24" fillId="0" borderId="0" xfId="0" applyNumberFormat="1" applyFont="1"/>
    <xf numFmtId="0" fontId="2" fillId="5" borderId="4" xfId="0" applyFont="1" applyFill="1" applyBorder="1" applyAlignment="1">
      <alignment horizontal="center" vertical="center" textRotation="255"/>
    </xf>
    <xf numFmtId="0" fontId="2" fillId="5" borderId="1" xfId="0" applyFont="1" applyFill="1" applyBorder="1" applyAlignment="1">
      <alignment horizontal="center" vertical="center" textRotation="255"/>
    </xf>
    <xf numFmtId="0" fontId="2" fillId="5" borderId="2"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3" borderId="2" xfId="0" applyFont="1" applyFill="1" applyBorder="1" applyAlignment="1">
      <alignment horizontal="center" vertical="center" textRotation="255"/>
    </xf>
    <xf numFmtId="0" fontId="2" fillId="4" borderId="4" xfId="0" applyFont="1" applyFill="1" applyBorder="1" applyAlignment="1">
      <alignment horizontal="center" vertical="center" textRotation="255"/>
    </xf>
    <xf numFmtId="0" fontId="2" fillId="4" borderId="1" xfId="0" applyFont="1" applyFill="1" applyBorder="1" applyAlignment="1">
      <alignment horizontal="center" vertical="center" textRotation="255"/>
    </xf>
    <xf numFmtId="0" fontId="2" fillId="4" borderId="0" xfId="0" applyFont="1" applyFill="1" applyAlignment="1">
      <alignment horizontal="center" vertical="center" textRotation="255"/>
    </xf>
  </cellXfs>
  <cellStyles count="143">
    <cellStyle name="Comma" xfId="1" builtinId="3"/>
    <cellStyle name="Comma 10" xfId="57" xr:uid="{262E37F6-2DAA-46FA-9780-1F1D0875D13B}"/>
    <cellStyle name="Comma 10 2" xfId="133" xr:uid="{74987C77-00BF-4B25-8206-7BC957AF423F}"/>
    <cellStyle name="Comma 11" xfId="68" xr:uid="{CE149653-CA28-4369-9DBD-A8CA00D00E9E}"/>
    <cellStyle name="Comma 12" xfId="90" xr:uid="{9547161F-3314-4707-A232-E6FCD48730FA}"/>
    <cellStyle name="Comma 13" xfId="92" xr:uid="{C4474CA1-C39D-4E2D-A034-D02BDE51E5BA}"/>
    <cellStyle name="Comma 14" xfId="97" xr:uid="{93691802-3508-472A-8432-0E42600E58F9}"/>
    <cellStyle name="Comma 15" xfId="10" xr:uid="{D969A5FB-6AF0-43FC-A9BD-5482E385554A}"/>
    <cellStyle name="Comma 2" xfId="4" xr:uid="{1816E55C-6884-46E5-BBA0-2C6A8D3A5310}"/>
    <cellStyle name="Comma 2 10" xfId="94" xr:uid="{37398529-95B9-4FDB-B90B-43162C3C6138}"/>
    <cellStyle name="Comma 2 11" xfId="99" xr:uid="{BD928A03-0CD6-4B0E-9146-A8474F1AE1E9}"/>
    <cellStyle name="Comma 2 12" xfId="13" xr:uid="{FF030891-865E-4804-8725-41A088785BF0}"/>
    <cellStyle name="Comma 2 2" xfId="20" xr:uid="{4A12F565-2F10-42BA-9D5A-D26251739A44}"/>
    <cellStyle name="Comma 2 2 2" xfId="25" xr:uid="{9450DAD3-5F07-46AC-86D8-3E6D6106016C}"/>
    <cellStyle name="Comma 2 2 2 2" xfId="79" xr:uid="{191E37B0-D1CA-4B44-8265-464F25E01356}"/>
    <cellStyle name="Comma 2 2 2 3" xfId="109" xr:uid="{1819F4FA-8DD4-4845-A124-C1EBC1738504}"/>
    <cellStyle name="Comma 2 2 3" xfId="41" xr:uid="{0C53285D-8E3F-442E-8DF9-084D089B644E}"/>
    <cellStyle name="Comma 2 2 3 2" xfId="122" xr:uid="{A3B9D87D-5BB1-4871-8C0A-371EA480AF76}"/>
    <cellStyle name="Comma 2 2 4" xfId="51" xr:uid="{33D0C9A1-5C5A-4E87-93B2-6BE0779FA8BC}"/>
    <cellStyle name="Comma 2 2 4 2" xfId="128" xr:uid="{2BEC18FF-CF1A-41F9-89F2-6D5B072B9268}"/>
    <cellStyle name="Comma 2 2 5" xfId="64" xr:uid="{9EBB8F53-D0B6-4B60-A968-011E8C8D38FA}"/>
    <cellStyle name="Comma 2 2 5 2" xfId="140" xr:uid="{A2D97F90-A65C-4565-AC2D-F3FC9DB9A253}"/>
    <cellStyle name="Comma 2 2 6" xfId="75" xr:uid="{B80DE5F0-0946-4F47-8606-959BB0C5428B}"/>
    <cellStyle name="Comma 2 2 7" xfId="104" xr:uid="{769E6DBE-89EA-489E-98A1-FD51641F3477}"/>
    <cellStyle name="Comma 2 3" xfId="22" xr:uid="{90D934A4-2F02-4A43-AA16-7FCF370CF093}"/>
    <cellStyle name="Comma 2 3 2" xfId="80" xr:uid="{096804CD-9595-4170-AC0C-9A72D7CA64BC}"/>
    <cellStyle name="Comma 2 3 3" xfId="78" xr:uid="{DDDAA668-B79C-4DEB-BB92-6921977929BC}"/>
    <cellStyle name="Comma 2 3 4" xfId="106" xr:uid="{E679821C-CB6E-4D06-8187-BE0DBBDA2740}"/>
    <cellStyle name="Comma 2 4" xfId="31" xr:uid="{30C7AEAE-BE5E-42C2-AC24-BA077996B2A9}"/>
    <cellStyle name="Comma 2 4 2" xfId="81" xr:uid="{09A77D67-FCE3-439D-8B66-9B9D8ADE800E}"/>
    <cellStyle name="Comma 2 4 3" xfId="113" xr:uid="{982CDBF2-DA18-4F60-A7D1-8B75142FDBF1}"/>
    <cellStyle name="Comma 2 5" xfId="36" xr:uid="{7345E69C-8C8A-494A-9E84-9C96E73402A5}"/>
    <cellStyle name="Comma 2 5 2" xfId="117" xr:uid="{5BDC9DED-3E08-4C09-87DA-0C0DC64E3AA4}"/>
    <cellStyle name="Comma 2 6" xfId="46" xr:uid="{A5E9ECC5-681A-45AB-A87E-D939A48BA3ED}"/>
    <cellStyle name="Comma 2 7" xfId="55" xr:uid="{A790B375-E3A0-413F-A3E2-11806CF7BA6D}"/>
    <cellStyle name="Comma 2 7 2" xfId="131" xr:uid="{F5C4AF9D-5FF9-42A5-B450-02FDCD081AE9}"/>
    <cellStyle name="Comma 2 8" xfId="59" xr:uid="{230740AB-6F6C-4A12-A6A6-58D8233B8851}"/>
    <cellStyle name="Comma 2 8 2" xfId="135" xr:uid="{96D41BDD-0F4C-400F-84E9-D1DE9C2A4C74}"/>
    <cellStyle name="Comma 2 9" xfId="70" xr:uid="{EF14F95A-0DFE-4A13-A98B-86011A4E81EA}"/>
    <cellStyle name="Comma 3" xfId="8" xr:uid="{E6CE0F0C-C7B5-46B1-B0B2-3C56773C9E4B}"/>
    <cellStyle name="Comma 3 10" xfId="100" xr:uid="{13A1314B-0C0B-454B-9083-4A0B4DE4904A}"/>
    <cellStyle name="Comma 3 11" xfId="15" xr:uid="{117139CB-0F43-46C4-AF8B-02F3ADC93583}"/>
    <cellStyle name="Comma 3 2" xfId="26" xr:uid="{CA50CD1B-1698-47F0-8D5E-B7C716E55EF0}"/>
    <cellStyle name="Comma 3 2 2" xfId="42" xr:uid="{7881CA64-0784-4FB0-BB28-F913BFD9DDB9}"/>
    <cellStyle name="Comma 3 2 2 2" xfId="82" xr:uid="{F10428C4-0772-4E2F-B414-3C40C80602FA}"/>
    <cellStyle name="Comma 3 2 2 3" xfId="123" xr:uid="{7B1B9900-8440-41B8-9B28-68B75EE92BBE}"/>
    <cellStyle name="Comma 3 2 3" xfId="65" xr:uid="{2CC98939-2B58-4388-84B1-39C62E915B24}"/>
    <cellStyle name="Comma 3 2 3 2" xfId="141" xr:uid="{972F2D14-534D-4162-8521-EA6E85E4E1D3}"/>
    <cellStyle name="Comma 3 2 4" xfId="76" xr:uid="{68ACE0F3-BE4D-45C6-AEE8-9D46DBBC3D89}"/>
    <cellStyle name="Comma 3 2 5" xfId="110" xr:uid="{9A83245F-6161-4A82-B150-13BB7C777FC9}"/>
    <cellStyle name="Comma 3 3" xfId="23" xr:uid="{E31DD4A1-C357-435F-91F2-A79CD3E322A2}"/>
    <cellStyle name="Comma 3 3 2" xfId="83" xr:uid="{31E4F1CB-C0C4-4F27-B175-22E6F9A6591C}"/>
    <cellStyle name="Comma 3 3 3" xfId="107" xr:uid="{6D56C662-54FD-43EF-B09E-88A356BBBB88}"/>
    <cellStyle name="Comma 3 4" xfId="32" xr:uid="{83316DD7-2FA8-411D-8008-645411BAB5F6}"/>
    <cellStyle name="Comma 3 4 2" xfId="114" xr:uid="{AF959251-FD67-4316-ADBF-BA0F6049743F}"/>
    <cellStyle name="Comma 3 5" xfId="37" xr:uid="{ED8409EC-42A7-4C0A-9657-4FAB65403C90}"/>
    <cellStyle name="Comma 3 5 2" xfId="118" xr:uid="{0EEEAFB8-EA2B-429C-9348-DBAD17469370}"/>
    <cellStyle name="Comma 3 6" xfId="56" xr:uid="{0F085172-83F7-4511-89A0-3B463D026E92}"/>
    <cellStyle name="Comma 3 6 2" xfId="132" xr:uid="{3D050B2D-E47E-49EE-8F0C-8E3D84C4A7FF}"/>
    <cellStyle name="Comma 3 7" xfId="60" xr:uid="{E9BF4B39-6740-4C2A-9C76-E86D6DDFE072}"/>
    <cellStyle name="Comma 3 7 2" xfId="136" xr:uid="{E0607198-1DDF-4776-9A54-806F3E42AC47}"/>
    <cellStyle name="Comma 3 8" xfId="71" xr:uid="{D287D410-AA40-4A9D-8757-126735359E2C}"/>
    <cellStyle name="Comma 3 9" xfId="95" xr:uid="{87BF1F04-253A-45F0-8DFC-F3FF60FF7A3D}"/>
    <cellStyle name="Comma 4" xfId="7" xr:uid="{03BD5A06-D303-4119-8057-B3D8434B6E15}"/>
    <cellStyle name="Comma 4 10" xfId="98" xr:uid="{3CC74987-1CFE-4070-85BE-CF9A08605373}"/>
    <cellStyle name="Comma 4 11" xfId="11" xr:uid="{B1616AC5-9744-4CC6-8114-E50D5C9CC8CD}"/>
    <cellStyle name="Comma 4 2" xfId="9" xr:uid="{A7772D90-0D36-49B0-A03B-7D6E58BCD6B8}"/>
    <cellStyle name="Comma 4 2 2" xfId="40" xr:uid="{56B603AA-731D-4B13-9EAD-13E5108730B8}"/>
    <cellStyle name="Comma 4 2 2 2" xfId="84" xr:uid="{BF500B9C-25B4-45AF-9A66-C867C6B0CD9C}"/>
    <cellStyle name="Comma 4 2 2 3" xfId="121" xr:uid="{A91C67B2-3B76-43CB-832F-1DB207D37B42}"/>
    <cellStyle name="Comma 4 2 3" xfId="63" xr:uid="{31A8E8E1-15A5-43D6-B861-024543D4F4F7}"/>
    <cellStyle name="Comma 4 2 3 2" xfId="139" xr:uid="{7FE06212-AEFA-4397-AD21-0EA15874AD64}"/>
    <cellStyle name="Comma 4 2 4" xfId="74" xr:uid="{DBBBB659-32D6-48F6-947A-D604FDBE4C05}"/>
    <cellStyle name="Comma 4 2 5" xfId="105" xr:uid="{64907B60-768E-4985-8489-3D8E14DA50AB}"/>
    <cellStyle name="Comma 4 2 6" xfId="21" xr:uid="{BDB19A15-2303-4551-A80F-7DF974FCB972}"/>
    <cellStyle name="Comma 4 3" xfId="19" xr:uid="{6F81AFC5-AFAC-4F53-BFC4-C6BF89665D6B}"/>
    <cellStyle name="Comma 4 3 2" xfId="85" xr:uid="{F64D29CC-164C-45B9-93EE-4292A1DF4A5B}"/>
    <cellStyle name="Comma 4 3 3" xfId="103" xr:uid="{A1FD05B1-BBF7-42FB-9321-F9E2BF76163C}"/>
    <cellStyle name="Comma 4 4" xfId="35" xr:uid="{49A68CBA-AD8E-4744-90F0-29454C9AAE1E}"/>
    <cellStyle name="Comma 4 4 2" xfId="116" xr:uid="{84FBCEF1-22BE-4153-8335-D924AB7883CE}"/>
    <cellStyle name="Comma 4 5" xfId="50" xr:uid="{BBAA7ABD-F666-4EF2-A1B0-90D1014D4277}"/>
    <cellStyle name="Comma 4 5 2" xfId="127" xr:uid="{D3A769BD-D9AA-49EF-AB8A-7CB3C57CAC37}"/>
    <cellStyle name="Comma 4 6" xfId="58" xr:uid="{37E1A226-DB8B-4CC8-8486-CCBDFF527308}"/>
    <cellStyle name="Comma 4 6 2" xfId="134" xr:uid="{7B351D6A-E372-48FB-8895-5A4CF01F2F8E}"/>
    <cellStyle name="Comma 4 7" xfId="67" xr:uid="{C226D4E1-F337-461D-B8DE-AEC0EA2604A5}"/>
    <cellStyle name="Comma 4 8" xfId="69" xr:uid="{C9808B0C-7B90-4C5B-A5E5-20DF1B4ADF2D}"/>
    <cellStyle name="Comma 4 9" xfId="93" xr:uid="{3720BC89-AC40-4FA5-8723-5C39A6B88620}"/>
    <cellStyle name="Comma 5" xfId="18" xr:uid="{DC305228-0E15-450B-A12D-68B435BE85D3}"/>
    <cellStyle name="Comma 5 2" xfId="39" xr:uid="{6B9ACA1E-39B6-42FE-B3EE-A80B6B16F3F7}"/>
    <cellStyle name="Comma 5 2 2" xfId="86" xr:uid="{0D904637-282F-44E6-B00C-DB1A3D156DB2}"/>
    <cellStyle name="Comma 5 2 3" xfId="120" xr:uid="{19274F24-09A2-4686-AC85-861FA242E96E}"/>
    <cellStyle name="Comma 5 3" xfId="54" xr:uid="{DBDCB058-536A-45E1-A5EA-7A28CC69B544}"/>
    <cellStyle name="Comma 5 3 2" xfId="130" xr:uid="{6AF5093F-8769-460E-8619-E73BCB427FCE}"/>
    <cellStyle name="Comma 5 4" xfId="62" xr:uid="{E2DC41FE-3EB2-4E57-B9EE-2A24A730DF83}"/>
    <cellStyle name="Comma 5 4 2" xfId="138" xr:uid="{A1B5BEC1-B766-4FEC-B450-15BDA99052CE}"/>
    <cellStyle name="Comma 5 5" xfId="73" xr:uid="{4C23A4D7-E325-4C5F-B02C-9493BB8A92F5}"/>
    <cellStyle name="Comma 5 6" xfId="102" xr:uid="{0B9F2198-81D3-4910-8C22-9C996153C22B}"/>
    <cellStyle name="Comma 6" xfId="29" xr:uid="{50D13CFF-8B7D-4BBC-BB1A-85EC95D4DC69}"/>
    <cellStyle name="Comma 6 2" xfId="87" xr:uid="{04DC653C-E885-4394-898F-C3BDAB0861C0}"/>
    <cellStyle name="Comma 6 3" xfId="112" xr:uid="{74CFE1D1-8C08-4106-99F8-9EB341D6BD32}"/>
    <cellStyle name="Comma 7" xfId="34" xr:uid="{C1F85614-EEE9-4299-8B03-5539C4595013}"/>
    <cellStyle name="Comma 7 2" xfId="115" xr:uid="{F0E297A2-D51A-4E68-86D1-4109B6282F3E}"/>
    <cellStyle name="Comma 8" xfId="44" xr:uid="{9F5309E6-98EE-4C14-B596-117D4F813861}"/>
    <cellStyle name="Comma 8 2" xfId="125" xr:uid="{60E21482-77CE-42EA-91C1-F2649C070106}"/>
    <cellStyle name="Comma 9" xfId="48" xr:uid="{312864A9-7A52-47D4-94B5-5098B29EDC72}"/>
    <cellStyle name="Currency 2" xfId="17" xr:uid="{531D623A-FC91-43FA-A94D-2A01E5A1D8D0}"/>
    <cellStyle name="Currency 2 10" xfId="101" xr:uid="{88298E8B-FBD4-4AB6-8317-372AC002EA5D}"/>
    <cellStyle name="Currency 2 2" xfId="27" xr:uid="{A5D002C4-4F44-4375-86F2-8DCC6297BDE9}"/>
    <cellStyle name="Currency 2 2 2" xfId="43" xr:uid="{EEEEFD17-109B-4FCC-98AD-7742F82D5544}"/>
    <cellStyle name="Currency 2 2 2 2" xfId="88" xr:uid="{846AFE66-9E65-411F-AFAE-8B6568BF1DC3}"/>
    <cellStyle name="Currency 2 2 2 3" xfId="124" xr:uid="{1E263023-989A-4445-A1FE-6011DBE2774C}"/>
    <cellStyle name="Currency 2 2 3" xfId="66" xr:uid="{3F56C8A7-D78C-4E34-B5FA-CAC43466CCB7}"/>
    <cellStyle name="Currency 2 2 3 2" xfId="142" xr:uid="{8F77A2F6-6631-4EA0-A692-22B2137216BF}"/>
    <cellStyle name="Currency 2 2 4" xfId="77" xr:uid="{584B88C8-F2E9-44F2-BA5A-02920E3F2A59}"/>
    <cellStyle name="Currency 2 2 5" xfId="111" xr:uid="{0A00FE1B-1A7B-431F-AA0E-3E1AA4D53536}"/>
    <cellStyle name="Currency 2 3" xfId="24" xr:uid="{89202019-C517-43B4-A963-58B84E3FE81F}"/>
    <cellStyle name="Currency 2 3 2" xfId="89" xr:uid="{AE44272E-77E4-42AD-BBA6-EBE4312AFBFA}"/>
    <cellStyle name="Currency 2 3 3" xfId="108" xr:uid="{52CFDCF7-B299-4B9B-BD43-911C08171029}"/>
    <cellStyle name="Currency 2 4" xfId="33" xr:uid="{5F801AF0-ECC3-47AD-9BC0-13CC0A03E8E4}"/>
    <cellStyle name="Currency 2 5" xfId="38" xr:uid="{4EB6C825-681C-41B4-9635-1D83299B9F7A}"/>
    <cellStyle name="Currency 2 5 2" xfId="119" xr:uid="{F6BD5C01-5CB0-4437-AE50-D728866E2F00}"/>
    <cellStyle name="Currency 2 6" xfId="52" xr:uid="{8BAECDE9-1328-4CFC-B792-F6BF02C478A1}"/>
    <cellStyle name="Currency 2 6 2" xfId="129" xr:uid="{C269C620-E00A-4096-B97E-F8D3BEC657E2}"/>
    <cellStyle name="Currency 2 7" xfId="61" xr:uid="{DF18A9E7-FF10-4812-8AA5-4ACEAC437422}"/>
    <cellStyle name="Currency 2 7 2" xfId="137" xr:uid="{8C841BA6-C6A2-4C69-BA93-8271B08B748A}"/>
    <cellStyle name="Currency 2 8" xfId="72" xr:uid="{DF50CC42-9E62-4A97-B4D8-84A026BE6B27}"/>
    <cellStyle name="Currency 2 9" xfId="96" xr:uid="{4C5D1443-AF01-4688-9589-1686899F607C}"/>
    <cellStyle name="Currency 3" xfId="45" xr:uid="{8572C0F4-ADE1-40E9-B928-183EDE2A3EC8}"/>
    <cellStyle name="Currency 3 2" xfId="126" xr:uid="{940DEDED-9001-4C3F-8765-FB3062665E65}"/>
    <cellStyle name="Currency 4" xfId="49" xr:uid="{C105DBD4-060D-4BBF-BE42-F14E5BBAC59B}"/>
    <cellStyle name="Currency 5" xfId="91" xr:uid="{D2739E0E-7206-4109-B597-0B3B8A34D5EC}"/>
    <cellStyle name="Normal" xfId="0" builtinId="0"/>
    <cellStyle name="Normal 2" xfId="3" xr:uid="{A36A64AC-EBE9-4460-8A8F-A68863770FD2}"/>
    <cellStyle name="Normal 2 2" xfId="28" xr:uid="{4F0B391F-F532-41F1-B186-B306ACBCA11F}"/>
    <cellStyle name="Normal 2 3" xfId="12" xr:uid="{14FDCDD4-7A56-42B0-AF85-950A9CACD423}"/>
    <cellStyle name="Normal 3" xfId="6" xr:uid="{0CEAF850-8982-481A-8513-C4DC0DD8D2C4}"/>
    <cellStyle name="Normal 3 2" xfId="16" xr:uid="{17040818-A94F-42C3-8288-A4A8A2B72401}"/>
    <cellStyle name="Normal 3 3" xfId="30" xr:uid="{B54DE0A0-8E58-431A-B44A-BDEE44AADA52}"/>
    <cellStyle name="Normal 4" xfId="14" xr:uid="{C678BB29-659B-42E4-BFFC-5C51EA870CA3}"/>
    <cellStyle name="Normal 5" xfId="47" xr:uid="{3AF450D6-D4C2-4C27-B210-B96BB58E7D59}"/>
    <cellStyle name="Percent" xfId="2" builtinId="5"/>
    <cellStyle name="Percent 2" xfId="5" xr:uid="{11868FC6-3B10-49FA-ABB0-1DE6A697485B}"/>
    <cellStyle name="Percent 2 2" xfId="53" xr:uid="{EF99005E-7A02-4C17-A6D8-F35E710747AA}"/>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180975</xdr:rowOff>
    </xdr:from>
    <xdr:to>
      <xdr:col>1</xdr:col>
      <xdr:colOff>1352550</xdr:colOff>
      <xdr:row>2</xdr:row>
      <xdr:rowOff>75938</xdr:rowOff>
    </xdr:to>
    <xdr:pic>
      <xdr:nvPicPr>
        <xdr:cNvPr id="5" name="Picture 4">
          <a:extLst>
            <a:ext uri="{FF2B5EF4-FFF2-40B4-BE49-F238E27FC236}">
              <a16:creationId xmlns:a16="http://schemas.microsoft.com/office/drawing/2014/main" id="{AAB3B6E9-D95D-4EA7-8419-47ADE6824F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80975"/>
          <a:ext cx="1914525" cy="11522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1380-349F-4A2D-8277-D2676DEFDB97}">
  <dimension ref="A1:U37"/>
  <sheetViews>
    <sheetView tabSelected="1" workbookViewId="0">
      <selection activeCell="D6" sqref="D6"/>
    </sheetView>
  </sheetViews>
  <sheetFormatPr defaultRowHeight="14.5" x14ac:dyDescent="0.35"/>
  <cols>
    <col min="2" max="2" width="89.81640625" customWidth="1"/>
    <col min="3" max="3" width="28.90625" customWidth="1"/>
    <col min="14" max="14" width="41" customWidth="1"/>
    <col min="21" max="21" width="56.54296875" customWidth="1"/>
  </cols>
  <sheetData>
    <row r="1" spans="1:21" x14ac:dyDescent="0.35">
      <c r="A1" s="8"/>
      <c r="B1" s="8"/>
      <c r="C1" s="8"/>
      <c r="D1" s="8"/>
      <c r="E1" s="8"/>
      <c r="F1" s="8"/>
      <c r="G1" s="8"/>
      <c r="H1" s="8"/>
      <c r="I1" s="8"/>
      <c r="J1" s="8"/>
      <c r="K1" s="8"/>
      <c r="L1" s="8"/>
      <c r="M1" s="8"/>
      <c r="N1" s="8"/>
      <c r="O1" s="8"/>
      <c r="P1" s="8"/>
      <c r="Q1" s="8"/>
    </row>
    <row r="2" spans="1:21" ht="83.75" customHeight="1" x14ac:dyDescent="0.35">
      <c r="A2" s="8"/>
      <c r="B2" s="8"/>
      <c r="C2" s="8"/>
      <c r="D2" s="8"/>
      <c r="E2" s="8"/>
      <c r="F2" s="8"/>
      <c r="G2" s="8"/>
      <c r="H2" s="8"/>
      <c r="I2" s="8"/>
      <c r="J2" s="8"/>
      <c r="K2" s="8"/>
      <c r="L2" s="8"/>
      <c r="M2" s="8"/>
      <c r="N2" s="8"/>
      <c r="O2" s="8"/>
      <c r="P2" s="8"/>
      <c r="Q2" s="8"/>
    </row>
    <row r="3" spans="1:21" x14ac:dyDescent="0.35">
      <c r="A3" s="8"/>
      <c r="B3" s="8"/>
      <c r="C3" s="8"/>
      <c r="D3" s="8"/>
      <c r="E3" s="8"/>
      <c r="F3" s="8"/>
      <c r="G3" s="8"/>
      <c r="H3" s="8"/>
      <c r="I3" s="8"/>
      <c r="J3" s="8"/>
      <c r="K3" s="8"/>
      <c r="L3" s="8"/>
      <c r="M3" s="8"/>
      <c r="N3" s="8"/>
      <c r="O3" s="8"/>
      <c r="P3" s="8"/>
      <c r="Q3" s="8"/>
    </row>
    <row r="4" spans="1:21" ht="20" x14ac:dyDescent="0.4">
      <c r="A4" s="7" t="s">
        <v>279</v>
      </c>
      <c r="B4" s="8"/>
      <c r="C4" s="8"/>
      <c r="D4" s="8"/>
      <c r="E4" s="8"/>
      <c r="F4" s="8"/>
      <c r="G4" s="8"/>
      <c r="H4" s="8"/>
      <c r="I4" s="8"/>
      <c r="J4" s="8"/>
      <c r="K4" s="8"/>
      <c r="L4" s="8"/>
      <c r="M4" s="8"/>
      <c r="N4" s="8"/>
      <c r="O4" s="8"/>
      <c r="P4" s="8"/>
      <c r="Q4" s="8"/>
    </row>
    <row r="5" spans="1:21" x14ac:dyDescent="0.35">
      <c r="A5" s="8"/>
      <c r="B5" s="8"/>
      <c r="C5" s="8"/>
      <c r="D5" s="8"/>
      <c r="E5" s="8"/>
      <c r="F5" s="8"/>
      <c r="G5" s="8"/>
      <c r="H5" s="8"/>
      <c r="I5" s="8"/>
      <c r="J5" s="8"/>
      <c r="K5" s="8"/>
      <c r="L5" s="8"/>
      <c r="M5" s="8"/>
      <c r="N5" s="8"/>
      <c r="O5" s="8"/>
      <c r="P5" s="8"/>
      <c r="Q5" s="8"/>
    </row>
    <row r="6" spans="1:21" ht="72.5" customHeight="1" x14ac:dyDescent="0.35">
      <c r="A6" s="8"/>
      <c r="B6" s="13" t="s">
        <v>30</v>
      </c>
      <c r="C6" s="8"/>
      <c r="D6" s="8"/>
      <c r="E6" s="8"/>
      <c r="F6" s="8"/>
      <c r="G6" s="8"/>
      <c r="H6" s="8"/>
      <c r="I6" s="8"/>
      <c r="J6" s="8"/>
      <c r="K6" s="8"/>
      <c r="L6" s="8"/>
      <c r="M6" s="8"/>
      <c r="N6" s="8"/>
      <c r="O6" s="8"/>
      <c r="P6" s="8"/>
      <c r="Q6" s="8"/>
    </row>
    <row r="7" spans="1:21" ht="25.25" customHeight="1" x14ac:dyDescent="0.35">
      <c r="A7" s="8"/>
      <c r="B7" s="14" t="s">
        <v>36</v>
      </c>
      <c r="C7" s="8"/>
      <c r="D7" s="8"/>
      <c r="E7" s="8"/>
      <c r="F7" s="8"/>
      <c r="G7" s="8"/>
      <c r="H7" s="8"/>
      <c r="I7" s="8"/>
      <c r="J7" s="8"/>
      <c r="K7" s="8"/>
      <c r="L7" s="8"/>
      <c r="M7" s="8"/>
      <c r="N7" s="8"/>
      <c r="O7" s="8"/>
      <c r="P7" s="8"/>
      <c r="Q7" s="8"/>
    </row>
    <row r="8" spans="1:21" ht="38" customHeight="1" x14ac:dyDescent="0.35">
      <c r="A8" s="8"/>
      <c r="B8" s="14" t="s">
        <v>31</v>
      </c>
      <c r="C8" s="8"/>
      <c r="D8" s="8"/>
      <c r="E8" s="8"/>
      <c r="F8" s="8"/>
      <c r="G8" s="8"/>
      <c r="H8" s="8"/>
      <c r="I8" s="8"/>
      <c r="J8" s="8"/>
      <c r="K8" s="8"/>
      <c r="L8" s="8"/>
      <c r="M8" s="8"/>
      <c r="N8" s="8"/>
      <c r="O8" s="8"/>
      <c r="P8" s="8"/>
      <c r="Q8" s="8"/>
      <c r="U8" s="9" t="s">
        <v>28</v>
      </c>
    </row>
    <row r="9" spans="1:21" ht="35" customHeight="1" x14ac:dyDescent="0.35">
      <c r="A9" s="8"/>
      <c r="B9" s="14" t="s">
        <v>32</v>
      </c>
      <c r="C9" s="8"/>
      <c r="D9" s="8"/>
      <c r="E9" s="8"/>
      <c r="F9" s="8"/>
      <c r="G9" s="8"/>
      <c r="H9" s="8"/>
      <c r="I9" s="8"/>
      <c r="J9" s="8"/>
      <c r="K9" s="8"/>
      <c r="L9" s="8"/>
      <c r="M9" s="8"/>
      <c r="N9" s="8"/>
      <c r="O9" s="8"/>
      <c r="P9" s="8"/>
      <c r="Q9" s="8"/>
      <c r="U9" s="10" t="s">
        <v>29</v>
      </c>
    </row>
    <row r="10" spans="1:21" ht="31.25" customHeight="1" x14ac:dyDescent="0.35">
      <c r="A10" s="15"/>
      <c r="B10" s="14" t="s">
        <v>33</v>
      </c>
      <c r="C10" s="16"/>
      <c r="D10" s="16"/>
      <c r="E10" s="16"/>
      <c r="F10" s="16"/>
      <c r="G10" s="16"/>
      <c r="H10" s="16"/>
      <c r="I10" s="16"/>
      <c r="J10" s="16"/>
      <c r="K10" s="8"/>
      <c r="L10" s="8"/>
      <c r="M10" s="8"/>
      <c r="N10" s="8"/>
      <c r="O10" s="8"/>
      <c r="P10" s="8"/>
      <c r="Q10" s="8"/>
    </row>
    <row r="11" spans="1:21" ht="32.75" customHeight="1" x14ac:dyDescent="0.35">
      <c r="A11" s="15"/>
      <c r="B11" s="14" t="s">
        <v>34</v>
      </c>
      <c r="C11" s="16"/>
      <c r="D11" s="16"/>
      <c r="E11" s="16"/>
      <c r="F11" s="16"/>
      <c r="G11" s="16"/>
      <c r="H11" s="16"/>
      <c r="I11" s="16"/>
      <c r="J11" s="16"/>
      <c r="K11" s="8"/>
      <c r="L11" s="8"/>
      <c r="M11" s="8"/>
      <c r="N11" s="8"/>
      <c r="O11" s="8"/>
      <c r="P11" s="8"/>
      <c r="Q11" s="8"/>
    </row>
    <row r="12" spans="1:21" ht="33" customHeight="1" x14ac:dyDescent="0.35">
      <c r="A12" s="15"/>
      <c r="B12" s="14" t="s">
        <v>35</v>
      </c>
      <c r="C12" s="16"/>
      <c r="D12" s="16"/>
      <c r="E12" s="16"/>
      <c r="F12" s="16"/>
      <c r="G12" s="16"/>
      <c r="H12" s="16"/>
      <c r="I12" s="16"/>
      <c r="J12" s="16"/>
      <c r="K12" s="8"/>
      <c r="L12" s="8"/>
      <c r="M12" s="8"/>
      <c r="N12" s="8"/>
      <c r="O12" s="8"/>
      <c r="P12" s="8"/>
      <c r="Q12" s="8"/>
    </row>
    <row r="13" spans="1:21" x14ac:dyDescent="0.35">
      <c r="A13" s="8"/>
      <c r="B13" s="17"/>
      <c r="C13" s="8"/>
      <c r="D13" s="8"/>
      <c r="E13" s="8"/>
      <c r="F13" s="8"/>
      <c r="G13" s="8"/>
      <c r="H13" s="8"/>
      <c r="I13" s="8"/>
      <c r="J13" s="8"/>
      <c r="K13" s="8"/>
      <c r="L13" s="8"/>
      <c r="M13" s="8"/>
      <c r="N13" s="18"/>
      <c r="O13" s="8"/>
      <c r="P13" s="8"/>
      <c r="Q13" s="8"/>
    </row>
    <row r="14" spans="1:21" ht="28.75" customHeight="1" x14ac:dyDescent="0.35">
      <c r="A14" s="8"/>
      <c r="B14" s="14" t="s">
        <v>146</v>
      </c>
      <c r="C14" s="14" t="s">
        <v>140</v>
      </c>
      <c r="E14" s="8"/>
      <c r="F14" s="8"/>
      <c r="G14" s="8"/>
      <c r="H14" s="8"/>
      <c r="I14" s="12"/>
      <c r="J14" s="12"/>
      <c r="K14" s="12"/>
      <c r="L14" s="8"/>
      <c r="M14" s="8"/>
      <c r="N14" s="8"/>
      <c r="O14" s="8"/>
      <c r="P14" s="8"/>
      <c r="Q14" s="8"/>
    </row>
    <row r="15" spans="1:21" x14ac:dyDescent="0.35">
      <c r="A15" s="8"/>
      <c r="B15" s="8" t="s">
        <v>137</v>
      </c>
      <c r="C15" s="8" t="s">
        <v>141</v>
      </c>
      <c r="D15" s="8"/>
      <c r="E15" s="8"/>
      <c r="F15" s="8"/>
      <c r="G15" s="8"/>
      <c r="H15" s="8"/>
      <c r="I15" s="8"/>
      <c r="J15" s="8"/>
      <c r="K15" s="8"/>
      <c r="L15" s="8"/>
      <c r="M15" s="8"/>
      <c r="N15" s="8"/>
      <c r="O15" s="8"/>
      <c r="P15" s="8"/>
      <c r="Q15" s="8"/>
    </row>
    <row r="16" spans="1:21" x14ac:dyDescent="0.35">
      <c r="A16" s="8"/>
      <c r="B16" s="8" t="s">
        <v>138</v>
      </c>
      <c r="C16" s="8" t="s">
        <v>142</v>
      </c>
      <c r="D16" s="8"/>
      <c r="E16" s="8"/>
      <c r="F16" s="8"/>
      <c r="G16" s="8"/>
      <c r="H16" s="8"/>
      <c r="I16" s="8"/>
      <c r="J16" s="8"/>
      <c r="K16" s="8"/>
      <c r="L16" s="8"/>
      <c r="M16" s="8"/>
      <c r="N16" s="8"/>
      <c r="O16" s="8"/>
      <c r="P16" s="8"/>
      <c r="Q16" s="8"/>
    </row>
    <row r="17" spans="1:17" x14ac:dyDescent="0.35">
      <c r="A17" s="8"/>
      <c r="B17" s="8" t="s">
        <v>139</v>
      </c>
      <c r="C17" s="8" t="s">
        <v>143</v>
      </c>
      <c r="D17" s="8"/>
      <c r="E17" s="8"/>
      <c r="F17" s="8"/>
      <c r="G17" s="8"/>
      <c r="H17" s="8"/>
      <c r="I17" s="8"/>
      <c r="J17" s="8"/>
      <c r="K17" s="8"/>
      <c r="L17" s="8"/>
      <c r="M17" s="8"/>
      <c r="N17" s="18"/>
      <c r="O17" s="8"/>
      <c r="P17" s="8"/>
      <c r="Q17" s="8"/>
    </row>
    <row r="18" spans="1:17" x14ac:dyDescent="0.35">
      <c r="A18" s="8"/>
      <c r="B18" s="8"/>
      <c r="C18" s="8" t="s">
        <v>144</v>
      </c>
      <c r="D18" s="8"/>
      <c r="E18" s="8"/>
      <c r="F18" s="8"/>
      <c r="G18" s="8"/>
      <c r="H18" s="8"/>
      <c r="I18" s="8"/>
      <c r="J18" s="8"/>
      <c r="K18" s="8"/>
      <c r="L18" s="8"/>
      <c r="M18" s="8"/>
      <c r="N18" s="8"/>
      <c r="O18" s="8"/>
      <c r="P18" s="8"/>
      <c r="Q18" s="8"/>
    </row>
    <row r="19" spans="1:17" x14ac:dyDescent="0.35">
      <c r="A19" s="8"/>
      <c r="B19" s="8"/>
      <c r="C19" s="8" t="s">
        <v>145</v>
      </c>
      <c r="D19" s="8"/>
      <c r="E19" s="8"/>
      <c r="F19" s="8"/>
      <c r="G19" s="8"/>
      <c r="H19" s="8"/>
      <c r="I19" s="8"/>
      <c r="J19" s="8"/>
      <c r="K19" s="8"/>
      <c r="L19" s="8"/>
      <c r="M19" s="8"/>
      <c r="N19" s="8"/>
      <c r="O19" s="8"/>
      <c r="P19" s="8"/>
      <c r="Q19" s="8"/>
    </row>
    <row r="20" spans="1:17" x14ac:dyDescent="0.35">
      <c r="A20" s="8"/>
      <c r="C20" s="8"/>
      <c r="D20" s="8"/>
      <c r="E20" s="8"/>
      <c r="F20" s="8"/>
      <c r="G20" s="8"/>
      <c r="H20" s="8"/>
      <c r="I20" s="8"/>
      <c r="J20" s="8"/>
      <c r="K20" s="8"/>
      <c r="L20" s="8"/>
      <c r="M20" s="8"/>
      <c r="N20" s="8"/>
      <c r="O20" s="8"/>
      <c r="P20" s="8"/>
      <c r="Q20" s="8"/>
    </row>
    <row r="21" spans="1:17" ht="43.5" x14ac:dyDescent="0.35">
      <c r="A21" s="8"/>
      <c r="B21" s="13" t="s">
        <v>147</v>
      </c>
      <c r="C21" s="8"/>
      <c r="D21" s="8"/>
      <c r="E21" s="8"/>
      <c r="F21" s="8"/>
      <c r="G21" s="8"/>
      <c r="H21" s="8"/>
      <c r="I21" s="8"/>
      <c r="J21" s="8"/>
      <c r="K21" s="8"/>
      <c r="L21" s="8"/>
      <c r="M21" s="8"/>
      <c r="N21" s="8"/>
      <c r="O21" s="8"/>
      <c r="P21" s="8"/>
      <c r="Q21" s="8"/>
    </row>
    <row r="22" spans="1:17" x14ac:dyDescent="0.35">
      <c r="A22" s="8"/>
      <c r="B22" s="8"/>
      <c r="C22" s="8"/>
      <c r="D22" s="8"/>
      <c r="E22" s="8"/>
      <c r="F22" s="8"/>
      <c r="G22" s="8"/>
      <c r="H22" s="8"/>
      <c r="I22" s="8"/>
      <c r="J22" s="8"/>
      <c r="K22" s="8"/>
      <c r="L22" s="8"/>
      <c r="M22" s="8"/>
      <c r="N22" s="8"/>
      <c r="O22" s="8"/>
      <c r="P22" s="8"/>
      <c r="Q22" s="8"/>
    </row>
    <row r="23" spans="1:17" s="8" customFormat="1" x14ac:dyDescent="0.35"/>
    <row r="24" spans="1:17" s="8" customFormat="1" x14ac:dyDescent="0.35">
      <c r="B24" s="8" t="s">
        <v>280</v>
      </c>
    </row>
    <row r="25" spans="1:17" s="8" customFormat="1" x14ac:dyDescent="0.35"/>
    <row r="26" spans="1:17" s="8" customFormat="1" x14ac:dyDescent="0.35"/>
    <row r="27" spans="1:17" s="8" customFormat="1" x14ac:dyDescent="0.35"/>
    <row r="28" spans="1:17" s="8" customFormat="1" x14ac:dyDescent="0.35"/>
    <row r="29" spans="1:17" s="8" customFormat="1" x14ac:dyDescent="0.35"/>
    <row r="30" spans="1:17" s="8" customFormat="1" x14ac:dyDescent="0.35"/>
    <row r="31" spans="1:17" s="8" customFormat="1" x14ac:dyDescent="0.35"/>
    <row r="32" spans="1:17" s="8" customFormat="1" x14ac:dyDescent="0.35"/>
    <row r="33" s="8" customFormat="1" x14ac:dyDescent="0.35"/>
    <row r="34" s="8" customFormat="1" x14ac:dyDescent="0.35"/>
    <row r="35" s="8" customFormat="1" x14ac:dyDescent="0.35"/>
    <row r="36" s="8" customFormat="1" x14ac:dyDescent="0.35"/>
    <row r="37" s="8" customFormat="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020C-E6A4-444F-AEB9-BE2A68E155C3}">
  <sheetPr>
    <pageSetUpPr fitToPage="1"/>
  </sheetPr>
  <dimension ref="A1:DL38"/>
  <sheetViews>
    <sheetView topLeftCell="A7" zoomScale="89" zoomScaleNormal="89" workbookViewId="0">
      <selection activeCell="U36" sqref="U36"/>
    </sheetView>
  </sheetViews>
  <sheetFormatPr defaultRowHeight="14.5" x14ac:dyDescent="0.35"/>
  <cols>
    <col min="1" max="1" width="4.453125" style="69" customWidth="1"/>
    <col min="2" max="2" width="5.453125" style="20" customWidth="1"/>
    <col min="3" max="3" width="18.54296875" customWidth="1"/>
    <col min="4" max="4" width="29.26953125" customWidth="1"/>
    <col min="5" max="5" width="24.81640625" hidden="1" customWidth="1"/>
    <col min="6" max="6" width="32.7265625" customWidth="1"/>
    <col min="7" max="7" width="35.54296875" customWidth="1"/>
    <col min="8" max="8" width="3.26953125" customWidth="1"/>
    <col min="9" max="10" width="4.7265625" customWidth="1"/>
    <col min="11" max="11" width="7.6328125" customWidth="1"/>
    <col min="12" max="12" width="8.81640625" customWidth="1"/>
    <col min="13" max="13" width="4.08984375" customWidth="1"/>
    <col min="14" max="14" width="11.08984375" bestFit="1" customWidth="1"/>
    <col min="15" max="15" width="9.6328125" style="121" customWidth="1"/>
    <col min="16" max="16" width="2.26953125" customWidth="1"/>
    <col min="17" max="17" width="9.90625" customWidth="1"/>
    <col min="18" max="18" width="7.6328125" style="66" customWidth="1"/>
    <col min="19" max="19" width="11.08984375" bestFit="1" customWidth="1"/>
    <col min="20" max="20" width="7.6328125" style="66" customWidth="1"/>
    <col min="21" max="21" width="12.36328125" customWidth="1"/>
    <col min="22" max="22" width="7.6328125" style="66" customWidth="1"/>
    <col min="24" max="24" width="9.7265625" bestFit="1" customWidth="1"/>
  </cols>
  <sheetData>
    <row r="1" spans="1:25" ht="26" x14ac:dyDescent="0.6">
      <c r="A1" s="19" t="s">
        <v>37</v>
      </c>
    </row>
    <row r="2" spans="1:25" s="27" customFormat="1" ht="45.5" customHeight="1" x14ac:dyDescent="0.35">
      <c r="A2" s="21"/>
      <c r="B2" s="22"/>
      <c r="C2" s="23" t="s">
        <v>38</v>
      </c>
      <c r="D2" s="23" t="s">
        <v>39</v>
      </c>
      <c r="E2" s="23" t="s">
        <v>40</v>
      </c>
      <c r="F2" s="23" t="s">
        <v>41</v>
      </c>
      <c r="G2" s="23" t="s">
        <v>42</v>
      </c>
      <c r="H2" s="23"/>
      <c r="I2" s="24" t="s">
        <v>43</v>
      </c>
      <c r="J2" s="25" t="s">
        <v>44</v>
      </c>
      <c r="K2" s="24" t="s">
        <v>45</v>
      </c>
      <c r="L2" s="24" t="s">
        <v>46</v>
      </c>
      <c r="M2" s="24"/>
      <c r="N2" s="153" t="s">
        <v>228</v>
      </c>
      <c r="O2" s="154" t="s">
        <v>227</v>
      </c>
      <c r="P2" s="23"/>
      <c r="Q2" s="23" t="s">
        <v>229</v>
      </c>
      <c r="R2" s="143" t="s">
        <v>237</v>
      </c>
      <c r="S2" s="23" t="s">
        <v>230</v>
      </c>
      <c r="T2" s="143" t="s">
        <v>237</v>
      </c>
      <c r="U2" s="153" t="s">
        <v>250</v>
      </c>
      <c r="V2" s="143" t="s">
        <v>237</v>
      </c>
      <c r="W2" s="27" t="s">
        <v>251</v>
      </c>
      <c r="X2" s="123" t="s">
        <v>237</v>
      </c>
      <c r="Y2" s="27" t="s">
        <v>252</v>
      </c>
    </row>
    <row r="3" spans="1:25" ht="83.5" customHeight="1" x14ac:dyDescent="0.35">
      <c r="A3" s="198" t="s">
        <v>9</v>
      </c>
      <c r="B3" s="28" t="s">
        <v>47</v>
      </c>
      <c r="C3" s="29" t="s">
        <v>48</v>
      </c>
      <c r="D3" s="29" t="s">
        <v>49</v>
      </c>
      <c r="E3" s="29" t="s">
        <v>50</v>
      </c>
      <c r="F3" s="29" t="s">
        <v>51</v>
      </c>
      <c r="G3" s="29" t="s">
        <v>52</v>
      </c>
      <c r="H3" s="30"/>
      <c r="I3" s="31" t="s">
        <v>53</v>
      </c>
      <c r="J3" s="31" t="s">
        <v>54</v>
      </c>
      <c r="K3" s="31">
        <v>13</v>
      </c>
      <c r="L3" s="31" t="s">
        <v>55</v>
      </c>
      <c r="M3" s="71"/>
      <c r="N3" s="125">
        <v>4.3266171504032691</v>
      </c>
      <c r="O3" s="127">
        <f>N3*0.8</f>
        <v>3.4612937203226153</v>
      </c>
      <c r="P3" s="103"/>
      <c r="Q3" s="125">
        <v>3.6050392537169933</v>
      </c>
      <c r="R3" s="126">
        <f>Q3/N3-1</f>
        <v>-0.16677646105549693</v>
      </c>
      <c r="S3" s="125">
        <v>3.5646658891741754</v>
      </c>
      <c r="T3" s="126">
        <f>S3/$N3-1</f>
        <v>-0.17610785395192063</v>
      </c>
      <c r="U3" s="125">
        <v>3.069818679432041</v>
      </c>
      <c r="V3" s="192">
        <f>U3/$N3-1</f>
        <v>-0.29048062892601589</v>
      </c>
      <c r="W3" s="111">
        <v>3.05</v>
      </c>
      <c r="X3" s="159">
        <f>W3/N3-1</f>
        <v>-0.29506126981544467</v>
      </c>
      <c r="Y3" s="4">
        <f>U3/S3-1</f>
        <v>-0.13882008163653603</v>
      </c>
    </row>
    <row r="4" spans="1:25" ht="15.4" customHeight="1" x14ac:dyDescent="0.35">
      <c r="A4" s="199"/>
      <c r="B4" s="117"/>
      <c r="C4" s="119"/>
      <c r="D4" s="38"/>
      <c r="E4" s="38"/>
      <c r="F4" s="38"/>
      <c r="G4" s="38" t="s">
        <v>256</v>
      </c>
      <c r="H4" s="11"/>
      <c r="I4" s="71"/>
      <c r="J4" s="71"/>
      <c r="K4" s="71"/>
      <c r="L4" s="71"/>
      <c r="M4" s="71"/>
      <c r="N4" s="6">
        <v>6.0094821174564933E-3</v>
      </c>
      <c r="O4" s="166"/>
      <c r="Q4" s="6">
        <v>1.503182136244686E-2</v>
      </c>
      <c r="R4" s="167"/>
      <c r="S4" s="6">
        <v>2.4571762667162492E-2</v>
      </c>
      <c r="T4" s="167"/>
      <c r="U4" s="6">
        <v>1.5571857633464532E-2</v>
      </c>
      <c r="V4" s="193"/>
      <c r="W4" s="111"/>
      <c r="Y4" s="4"/>
    </row>
    <row r="5" spans="1:25" ht="65.5" customHeight="1" x14ac:dyDescent="0.35">
      <c r="A5" s="199"/>
      <c r="B5" s="32" t="s">
        <v>56</v>
      </c>
      <c r="C5" s="38" t="s">
        <v>57</v>
      </c>
      <c r="D5" s="33" t="s">
        <v>58</v>
      </c>
      <c r="E5" s="33"/>
      <c r="F5" s="33" t="s">
        <v>59</v>
      </c>
      <c r="G5" s="38" t="s">
        <v>255</v>
      </c>
      <c r="H5" s="34"/>
      <c r="I5" s="33" t="s">
        <v>53</v>
      </c>
      <c r="J5" s="35" t="s">
        <v>54</v>
      </c>
      <c r="K5" s="35" t="s">
        <v>60</v>
      </c>
      <c r="L5" s="35">
        <v>9</v>
      </c>
      <c r="M5" s="71"/>
      <c r="N5" s="36">
        <v>511413.16631910001</v>
      </c>
      <c r="Q5" s="36">
        <v>376592.50025640696</v>
      </c>
      <c r="R5" s="124">
        <f>Q5/N5-1</f>
        <v>-0.26362376829886058</v>
      </c>
      <c r="S5" s="36">
        <v>690519.26276456052</v>
      </c>
      <c r="T5" s="124">
        <f>S5/N5-1</f>
        <v>0.35021800031973749</v>
      </c>
      <c r="U5" s="36">
        <v>2117297.5431981506</v>
      </c>
      <c r="V5" s="159">
        <f>U5/N5-1</f>
        <v>3.1400919699377612</v>
      </c>
      <c r="W5" s="111"/>
    </row>
    <row r="6" spans="1:25" ht="29.25" customHeight="1" x14ac:dyDescent="0.35">
      <c r="A6" s="199"/>
      <c r="B6" s="117"/>
      <c r="C6" s="38"/>
      <c r="D6" s="38"/>
      <c r="E6" s="38"/>
      <c r="F6" s="38"/>
      <c r="G6" s="38" t="s">
        <v>257</v>
      </c>
      <c r="I6" s="38"/>
      <c r="J6" s="71"/>
      <c r="K6" s="71"/>
      <c r="L6" s="71"/>
      <c r="M6" s="71"/>
      <c r="N6" s="4">
        <v>2.7603552810740384E-2</v>
      </c>
      <c r="Q6" s="4">
        <v>1.0004086996165695</v>
      </c>
      <c r="R6" s="124"/>
      <c r="S6" s="4">
        <v>0.97662611005631317</v>
      </c>
      <c r="T6" s="124"/>
      <c r="U6" s="4">
        <v>0.9594714604988116</v>
      </c>
      <c r="V6" s="159"/>
      <c r="W6" s="111"/>
    </row>
    <row r="7" spans="1:25" ht="55.5" customHeight="1" x14ac:dyDescent="0.35">
      <c r="A7" s="199"/>
      <c r="B7" s="37"/>
      <c r="C7" s="38"/>
      <c r="D7" s="38"/>
      <c r="E7" s="38"/>
      <c r="F7" s="39" t="s">
        <v>61</v>
      </c>
      <c r="G7" s="39" t="s">
        <v>62</v>
      </c>
      <c r="I7" s="11"/>
      <c r="J7" s="11"/>
      <c r="K7" s="11"/>
      <c r="L7" s="11"/>
      <c r="M7" s="11"/>
      <c r="U7" s="11"/>
      <c r="W7" s="111"/>
    </row>
    <row r="8" spans="1:25" ht="35.5" customHeight="1" x14ac:dyDescent="0.35">
      <c r="A8" s="199"/>
      <c r="B8" s="37"/>
      <c r="F8" s="38" t="s">
        <v>63</v>
      </c>
      <c r="G8" s="40" t="s">
        <v>64</v>
      </c>
      <c r="H8" s="11"/>
      <c r="I8" s="38"/>
      <c r="J8" s="38"/>
      <c r="K8" s="38"/>
      <c r="L8" s="38"/>
      <c r="M8" s="38"/>
      <c r="N8" s="125">
        <v>24.911196556921887</v>
      </c>
      <c r="O8" s="127">
        <f>N8*0.8</f>
        <v>19.928957245537511</v>
      </c>
      <c r="P8" s="103"/>
      <c r="Q8" s="125">
        <v>24.070902287550744</v>
      </c>
      <c r="R8" s="126">
        <f>Q8/N8-1</f>
        <v>-3.3731590028245995E-2</v>
      </c>
      <c r="S8" s="125">
        <v>21.21788290899141</v>
      </c>
      <c r="T8" s="126">
        <f t="shared" ref="T8" si="0">S8/$N8-1</f>
        <v>-0.14825918295378882</v>
      </c>
      <c r="U8" s="125">
        <v>18.411352968078432</v>
      </c>
      <c r="V8" s="192">
        <f>U8/$N8-1</f>
        <v>-0.26092056935086849</v>
      </c>
      <c r="W8" s="111">
        <v>18.53</v>
      </c>
      <c r="X8" s="159">
        <f>W8/N8-1</f>
        <v>-0.2561577699546026</v>
      </c>
      <c r="Y8" s="4">
        <f t="shared" ref="Y8" si="1">U8/S8-1</f>
        <v>-0.13227191199757571</v>
      </c>
    </row>
    <row r="9" spans="1:25" ht="94" customHeight="1" x14ac:dyDescent="0.35">
      <c r="A9" s="199"/>
      <c r="B9" s="37"/>
      <c r="D9" s="41" t="s">
        <v>65</v>
      </c>
      <c r="E9" s="41" t="s">
        <v>66</v>
      </c>
      <c r="F9" s="41" t="s">
        <v>67</v>
      </c>
      <c r="G9" s="41" t="s">
        <v>277</v>
      </c>
      <c r="H9" s="11"/>
      <c r="I9" s="41" t="s">
        <v>68</v>
      </c>
      <c r="J9" s="42">
        <v>3</v>
      </c>
      <c r="K9" s="43" t="s">
        <v>69</v>
      </c>
      <c r="L9" s="44"/>
      <c r="M9" s="40"/>
      <c r="O9" s="190">
        <v>1</v>
      </c>
      <c r="U9" s="4">
        <v>0.66</v>
      </c>
    </row>
    <row r="10" spans="1:25" ht="15.4" customHeight="1" x14ac:dyDescent="0.35">
      <c r="A10" s="199"/>
      <c r="B10" s="37"/>
      <c r="C10" s="119"/>
      <c r="D10" s="38"/>
      <c r="E10" s="38"/>
      <c r="F10" s="41"/>
      <c r="G10" s="41" t="s">
        <v>258</v>
      </c>
      <c r="H10" s="11"/>
      <c r="I10" s="38"/>
      <c r="J10" s="54"/>
      <c r="K10" s="71"/>
      <c r="L10" s="40"/>
      <c r="M10" s="40"/>
      <c r="U10" s="168" t="s">
        <v>259</v>
      </c>
    </row>
    <row r="11" spans="1:25" s="27" customFormat="1" ht="48.75" customHeight="1" x14ac:dyDescent="0.35">
      <c r="A11" s="200"/>
      <c r="B11" s="45"/>
      <c r="D11" s="46"/>
      <c r="E11" s="46"/>
      <c r="F11" s="47" t="s">
        <v>70</v>
      </c>
      <c r="G11" s="47" t="s">
        <v>71</v>
      </c>
      <c r="H11" s="26"/>
      <c r="O11" s="122"/>
      <c r="R11" s="123"/>
      <c r="T11" s="123"/>
      <c r="V11" s="123"/>
    </row>
    <row r="12" spans="1:25" ht="79.5" customHeight="1" x14ac:dyDescent="0.35">
      <c r="A12" s="201" t="s">
        <v>1</v>
      </c>
      <c r="B12" s="70" t="s">
        <v>72</v>
      </c>
      <c r="C12" s="40" t="s">
        <v>73</v>
      </c>
      <c r="D12" s="38" t="s">
        <v>270</v>
      </c>
      <c r="E12" s="38" t="s">
        <v>74</v>
      </c>
      <c r="F12" s="38" t="s">
        <v>271</v>
      </c>
      <c r="G12" s="11" t="s">
        <v>272</v>
      </c>
      <c r="H12" s="11"/>
      <c r="I12" s="38" t="s">
        <v>75</v>
      </c>
      <c r="J12" s="71" t="s">
        <v>76</v>
      </c>
      <c r="K12" s="71">
        <v>5</v>
      </c>
      <c r="L12" s="71"/>
      <c r="M12" s="71"/>
    </row>
    <row r="13" spans="1:25" ht="15" customHeight="1" x14ac:dyDescent="0.35">
      <c r="A13" s="202"/>
      <c r="B13" s="70"/>
      <c r="C13" s="40"/>
      <c r="D13" s="38"/>
      <c r="E13" s="38"/>
      <c r="F13" s="38"/>
      <c r="G13" s="40" t="s">
        <v>6</v>
      </c>
      <c r="H13" s="11"/>
      <c r="I13" s="38"/>
      <c r="J13" s="71"/>
      <c r="K13" s="71"/>
      <c r="L13" s="71"/>
      <c r="M13" s="71"/>
      <c r="N13" s="6">
        <v>0.45265857040241886</v>
      </c>
      <c r="O13" s="152">
        <v>0.45</v>
      </c>
      <c r="Q13" s="6">
        <v>0.43940807295359058</v>
      </c>
      <c r="S13" s="6">
        <v>0.43052079499447921</v>
      </c>
      <c r="U13" s="6">
        <v>0.42769345548395921</v>
      </c>
    </row>
    <row r="14" spans="1:25" ht="15" customHeight="1" x14ac:dyDescent="0.35">
      <c r="A14" s="202"/>
      <c r="B14" s="70"/>
      <c r="C14" s="40"/>
      <c r="D14" s="38"/>
      <c r="E14" s="38"/>
      <c r="F14" s="38"/>
      <c r="G14" s="40" t="s">
        <v>238</v>
      </c>
      <c r="H14" s="11"/>
      <c r="I14" s="38"/>
      <c r="J14" s="71"/>
      <c r="K14" s="71"/>
      <c r="L14" s="71"/>
      <c r="M14" s="71"/>
      <c r="O14" s="152">
        <v>0.5</v>
      </c>
      <c r="S14" s="6">
        <v>0.64871181450128823</v>
      </c>
      <c r="U14" s="6">
        <v>0.66900883073178274</v>
      </c>
    </row>
    <row r="15" spans="1:25" ht="37.5" customHeight="1" x14ac:dyDescent="0.35">
      <c r="A15" s="202"/>
      <c r="B15" s="70"/>
      <c r="C15" s="40"/>
      <c r="D15" s="38"/>
      <c r="E15" s="38"/>
      <c r="F15" s="38"/>
      <c r="G15" s="38" t="s">
        <v>273</v>
      </c>
      <c r="H15" s="11"/>
      <c r="I15" s="38"/>
      <c r="J15" s="71"/>
      <c r="K15" s="71"/>
      <c r="L15" s="71"/>
      <c r="M15" s="71"/>
      <c r="N15" s="6"/>
      <c r="O15" s="150"/>
      <c r="Q15" s="6"/>
      <c r="S15" s="6"/>
      <c r="U15" s="6"/>
    </row>
    <row r="16" spans="1:25" ht="15" customHeight="1" x14ac:dyDescent="0.35">
      <c r="A16" s="202"/>
      <c r="B16" s="70"/>
      <c r="C16" s="40"/>
      <c r="G16" t="s">
        <v>6</v>
      </c>
      <c r="N16" s="5">
        <v>0.35612865835989566</v>
      </c>
      <c r="O16" s="151"/>
      <c r="Q16" s="5">
        <v>0.34027777777777779</v>
      </c>
      <c r="R16" s="5"/>
      <c r="S16" s="5">
        <v>0.3619778346121057</v>
      </c>
      <c r="T16" s="5"/>
      <c r="U16" s="160">
        <v>0.37133873903690218</v>
      </c>
    </row>
    <row r="17" spans="1:116" ht="15" customHeight="1" x14ac:dyDescent="0.35">
      <c r="A17" s="202"/>
      <c r="B17" s="70"/>
      <c r="C17" s="40"/>
      <c r="G17" s="38" t="s">
        <v>274</v>
      </c>
      <c r="N17" s="5"/>
      <c r="O17" s="151"/>
      <c r="Q17" s="5"/>
      <c r="R17" s="5"/>
      <c r="S17" s="5"/>
      <c r="T17" s="5"/>
      <c r="U17" s="160">
        <v>0.2928637627432808</v>
      </c>
    </row>
    <row r="18" spans="1:116" ht="15" customHeight="1" x14ac:dyDescent="0.35">
      <c r="A18" s="202"/>
      <c r="B18" s="70"/>
      <c r="C18" s="40"/>
      <c r="D18" s="38"/>
      <c r="E18" s="38"/>
      <c r="F18" s="38"/>
      <c r="G18" s="40" t="s">
        <v>239</v>
      </c>
      <c r="H18" s="11"/>
      <c r="I18" s="38"/>
      <c r="J18" s="71"/>
      <c r="K18" s="71"/>
      <c r="L18" s="71"/>
      <c r="M18" s="71"/>
      <c r="N18" s="4">
        <v>0.34164010431758912</v>
      </c>
      <c r="O18" s="120"/>
      <c r="Q18" s="4">
        <v>0.31236897274633124</v>
      </c>
      <c r="S18" s="4">
        <v>0.31372549019607843</v>
      </c>
      <c r="U18" s="132">
        <v>0.34651663081251033</v>
      </c>
    </row>
    <row r="19" spans="1:116" ht="15" customHeight="1" x14ac:dyDescent="0.35">
      <c r="A19" s="202"/>
      <c r="B19" s="70"/>
      <c r="C19" s="40"/>
      <c r="D19" s="38"/>
      <c r="E19" s="38"/>
      <c r="F19" s="38"/>
      <c r="G19" s="38" t="s">
        <v>275</v>
      </c>
      <c r="H19" s="11"/>
      <c r="I19" s="38"/>
      <c r="J19" s="71"/>
      <c r="K19" s="71"/>
      <c r="L19" s="71"/>
      <c r="M19" s="71"/>
      <c r="N19" s="4"/>
      <c r="O19" s="120"/>
      <c r="Q19" s="4"/>
      <c r="S19" s="4"/>
      <c r="U19" s="132">
        <v>0.1121959291742512</v>
      </c>
    </row>
    <row r="20" spans="1:116" ht="62.5" customHeight="1" x14ac:dyDescent="0.35">
      <c r="A20" s="202"/>
      <c r="B20" s="48" t="s">
        <v>77</v>
      </c>
      <c r="C20" s="38" t="s">
        <v>78</v>
      </c>
      <c r="D20" s="49" t="s">
        <v>79</v>
      </c>
      <c r="E20" s="38"/>
      <c r="F20" s="49" t="s">
        <v>80</v>
      </c>
      <c r="G20" s="49" t="s">
        <v>260</v>
      </c>
      <c r="H20" s="49"/>
      <c r="I20" s="49" t="s">
        <v>75</v>
      </c>
      <c r="J20" s="49" t="s">
        <v>81</v>
      </c>
      <c r="K20" s="51">
        <v>8</v>
      </c>
      <c r="L20" s="49" t="s">
        <v>82</v>
      </c>
      <c r="M20" s="71"/>
      <c r="N20" s="125">
        <v>1.9182274664208012</v>
      </c>
      <c r="O20" s="149" t="s">
        <v>276</v>
      </c>
      <c r="P20" s="103"/>
      <c r="Q20" s="125">
        <v>1.6408419651778201</v>
      </c>
      <c r="R20" s="126">
        <f>Q20/N20-1</f>
        <v>-0.14460511388701547</v>
      </c>
      <c r="S20" s="125">
        <v>1.1218987795168753</v>
      </c>
      <c r="T20" s="126">
        <f>S20/Q20-1</f>
        <v>-0.31626640266035999</v>
      </c>
      <c r="U20" s="125">
        <v>2.6795799433117651</v>
      </c>
      <c r="V20" s="192">
        <f>U20/S20-1</f>
        <v>1.388432889164632</v>
      </c>
    </row>
    <row r="21" spans="1:116" ht="15.4" customHeight="1" x14ac:dyDescent="0.35">
      <c r="A21" s="202"/>
      <c r="B21" s="52"/>
      <c r="C21" s="119"/>
      <c r="D21" s="38"/>
      <c r="E21" s="38"/>
      <c r="F21" s="38"/>
      <c r="G21" s="11" t="s">
        <v>261</v>
      </c>
      <c r="H21" s="11"/>
      <c r="I21" s="38"/>
      <c r="J21" s="38"/>
      <c r="K21" s="71"/>
      <c r="L21" s="71"/>
      <c r="M21" s="71"/>
      <c r="N21" s="155">
        <v>4</v>
      </c>
      <c r="O21" s="156"/>
      <c r="P21" s="155"/>
      <c r="Q21" s="155">
        <v>5</v>
      </c>
      <c r="R21" s="157"/>
      <c r="S21" s="155">
        <v>2</v>
      </c>
      <c r="T21" s="158"/>
      <c r="U21" s="155">
        <v>11</v>
      </c>
      <c r="V21" s="194"/>
    </row>
    <row r="22" spans="1:116" ht="29" x14ac:dyDescent="0.35">
      <c r="A22" s="202"/>
      <c r="B22" s="52"/>
      <c r="F22" s="53" t="s">
        <v>83</v>
      </c>
      <c r="G22" s="53" t="s">
        <v>262</v>
      </c>
      <c r="H22" s="11"/>
      <c r="K22" s="54"/>
      <c r="L22" s="54"/>
      <c r="M22" s="54"/>
      <c r="U22" s="162">
        <v>90174</v>
      </c>
    </row>
    <row r="23" spans="1:116" ht="45.25" customHeight="1" x14ac:dyDescent="0.35">
      <c r="A23" s="202"/>
      <c r="B23" s="48" t="s">
        <v>84</v>
      </c>
      <c r="C23" s="49" t="s">
        <v>85</v>
      </c>
      <c r="D23" s="49" t="s">
        <v>86</v>
      </c>
      <c r="E23" s="50"/>
      <c r="F23" s="50" t="s">
        <v>87</v>
      </c>
      <c r="G23" s="50" t="s">
        <v>88</v>
      </c>
      <c r="H23" s="50"/>
      <c r="I23" s="51" t="s">
        <v>89</v>
      </c>
      <c r="J23" s="51">
        <v>1</v>
      </c>
      <c r="K23" s="51">
        <v>3</v>
      </c>
      <c r="L23" s="51"/>
      <c r="M23" s="71"/>
      <c r="U23" s="162">
        <v>79993</v>
      </c>
    </row>
    <row r="24" spans="1:116" ht="58.75" customHeight="1" x14ac:dyDescent="0.35">
      <c r="A24" s="202"/>
      <c r="B24" s="52"/>
      <c r="F24" s="56" t="s">
        <v>90</v>
      </c>
      <c r="G24" s="56" t="s">
        <v>91</v>
      </c>
      <c r="H24" s="11"/>
      <c r="S24" s="11" t="s">
        <v>254</v>
      </c>
      <c r="U24" s="11" t="s">
        <v>253</v>
      </c>
    </row>
    <row r="25" spans="1:116" ht="58" x14ac:dyDescent="0.35">
      <c r="A25" s="202"/>
      <c r="B25" s="48" t="s">
        <v>92</v>
      </c>
      <c r="C25" s="50" t="s">
        <v>93</v>
      </c>
      <c r="D25" s="49" t="s">
        <v>94</v>
      </c>
      <c r="E25" s="49"/>
      <c r="F25" s="49" t="s">
        <v>95</v>
      </c>
      <c r="G25" s="49" t="s">
        <v>232</v>
      </c>
      <c r="H25" s="50"/>
      <c r="I25" s="51" t="s">
        <v>68</v>
      </c>
      <c r="J25" s="51" t="s">
        <v>96</v>
      </c>
      <c r="K25" s="51" t="s">
        <v>97</v>
      </c>
      <c r="L25" s="51">
        <v>3</v>
      </c>
      <c r="M25" s="71"/>
      <c r="U25" s="163">
        <v>77</v>
      </c>
    </row>
    <row r="26" spans="1:116" ht="88" customHeight="1" x14ac:dyDescent="0.35">
      <c r="A26" s="202"/>
      <c r="B26" s="52"/>
      <c r="C26" s="11"/>
      <c r="D26" s="11"/>
      <c r="E26" s="38" t="s">
        <v>98</v>
      </c>
      <c r="F26" s="41" t="s">
        <v>99</v>
      </c>
      <c r="G26" s="41" t="s">
        <v>277</v>
      </c>
      <c r="H26" s="11"/>
      <c r="I26" s="11"/>
      <c r="J26" s="11"/>
      <c r="K26" s="11"/>
      <c r="L26" s="11"/>
      <c r="M26" s="11"/>
      <c r="O26" s="190">
        <v>1</v>
      </c>
      <c r="U26" s="164">
        <v>0.66</v>
      </c>
    </row>
    <row r="27" spans="1:116" s="72" customFormat="1" ht="66.75" customHeight="1" x14ac:dyDescent="0.35">
      <c r="A27" s="203"/>
      <c r="B27" s="137" t="s">
        <v>100</v>
      </c>
      <c r="C27" s="138" t="s">
        <v>101</v>
      </c>
      <c r="D27" s="138" t="s">
        <v>102</v>
      </c>
      <c r="E27" s="138"/>
      <c r="F27" s="138" t="s">
        <v>103</v>
      </c>
      <c r="G27" s="138" t="s">
        <v>104</v>
      </c>
      <c r="H27" s="139"/>
      <c r="I27" s="140" t="s">
        <v>105</v>
      </c>
      <c r="J27" s="140" t="s">
        <v>106</v>
      </c>
      <c r="K27" s="140" t="s">
        <v>107</v>
      </c>
      <c r="L27" s="140">
        <v>11</v>
      </c>
      <c r="M27" s="118"/>
      <c r="N27" s="141">
        <v>0.5</v>
      </c>
      <c r="O27" s="148" t="s">
        <v>233</v>
      </c>
      <c r="P27" s="23"/>
      <c r="Q27" s="142">
        <v>0.51</v>
      </c>
      <c r="R27" s="143"/>
      <c r="S27" s="142">
        <v>0.67</v>
      </c>
      <c r="T27" s="143"/>
      <c r="U27" s="161">
        <v>0.74</v>
      </c>
      <c r="V27" s="143"/>
      <c r="W27" s="27"/>
      <c r="X27" s="27"/>
      <c r="Y27" s="27"/>
      <c r="Z27" s="27"/>
      <c r="AA27" s="27"/>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row>
    <row r="28" spans="1:116" ht="40" customHeight="1" x14ac:dyDescent="0.35">
      <c r="A28" s="195" t="s">
        <v>108</v>
      </c>
      <c r="B28" s="57" t="s">
        <v>109</v>
      </c>
      <c r="C28" s="40" t="s">
        <v>110</v>
      </c>
      <c r="D28" s="38" t="s">
        <v>111</v>
      </c>
      <c r="E28" s="38"/>
      <c r="F28" s="38" t="s">
        <v>112</v>
      </c>
      <c r="G28" s="38" t="s">
        <v>113</v>
      </c>
      <c r="H28" s="11"/>
      <c r="I28" s="38" t="s">
        <v>75</v>
      </c>
      <c r="J28" s="38" t="s">
        <v>114</v>
      </c>
      <c r="K28" s="71">
        <v>16</v>
      </c>
      <c r="L28" s="38"/>
      <c r="M28" s="38"/>
      <c r="S28" s="163">
        <v>146</v>
      </c>
      <c r="U28" s="163">
        <v>146</v>
      </c>
    </row>
    <row r="29" spans="1:116" ht="48" customHeight="1" x14ac:dyDescent="0.35">
      <c r="A29" s="196"/>
      <c r="B29" s="57"/>
      <c r="D29" s="11"/>
      <c r="E29" s="11"/>
      <c r="F29" s="41" t="s">
        <v>115</v>
      </c>
      <c r="G29" s="41" t="s">
        <v>116</v>
      </c>
      <c r="H29" s="11"/>
      <c r="I29" s="11"/>
      <c r="J29" s="11"/>
      <c r="K29" s="11"/>
      <c r="L29" s="11"/>
      <c r="M29" s="11"/>
      <c r="U29" s="165">
        <v>10</v>
      </c>
    </row>
    <row r="30" spans="1:116" ht="54" customHeight="1" x14ac:dyDescent="0.35">
      <c r="A30" s="196"/>
      <c r="B30" s="58" t="s">
        <v>117</v>
      </c>
      <c r="C30" s="49" t="s">
        <v>118</v>
      </c>
      <c r="D30" s="49" t="s">
        <v>119</v>
      </c>
      <c r="E30" s="49"/>
      <c r="F30" s="49" t="s">
        <v>120</v>
      </c>
      <c r="G30" s="50" t="s">
        <v>265</v>
      </c>
      <c r="H30" s="50"/>
      <c r="I30" s="49" t="s">
        <v>75</v>
      </c>
      <c r="J30" s="49" t="s">
        <v>114</v>
      </c>
      <c r="K30" s="51">
        <v>16</v>
      </c>
      <c r="L30" s="49"/>
      <c r="M30" s="38"/>
      <c r="N30" s="146" t="s">
        <v>235</v>
      </c>
      <c r="O30" s="147" t="s">
        <v>234</v>
      </c>
      <c r="P30" s="103"/>
      <c r="Q30" s="144" t="s">
        <v>236</v>
      </c>
      <c r="R30" s="145"/>
      <c r="S30" s="144" t="s">
        <v>236</v>
      </c>
      <c r="T30" s="145"/>
      <c r="U30" s="144" t="s">
        <v>235</v>
      </c>
    </row>
    <row r="31" spans="1:116" s="66" customFormat="1" ht="35.25" customHeight="1" x14ac:dyDescent="0.35">
      <c r="A31" s="196"/>
      <c r="B31" s="133"/>
      <c r="C31" s="169"/>
      <c r="D31" s="134"/>
      <c r="E31" s="134"/>
      <c r="F31" s="134"/>
      <c r="G31" s="50" t="s">
        <v>263</v>
      </c>
      <c r="H31" s="135"/>
      <c r="I31" s="134"/>
      <c r="J31" s="134"/>
      <c r="K31" s="136"/>
      <c r="L31" s="134"/>
      <c r="M31" s="67"/>
      <c r="O31" s="170"/>
      <c r="U31" s="171">
        <v>0.75</v>
      </c>
    </row>
    <row r="32" spans="1:116" s="66" customFormat="1" ht="35.25" customHeight="1" x14ac:dyDescent="0.35">
      <c r="A32" s="196"/>
      <c r="B32" s="133"/>
      <c r="C32" s="169"/>
      <c r="D32" s="134"/>
      <c r="E32" s="134"/>
      <c r="F32" s="134"/>
      <c r="G32" s="50" t="s">
        <v>264</v>
      </c>
      <c r="H32" s="135"/>
      <c r="I32" s="134"/>
      <c r="J32" s="134"/>
      <c r="K32" s="136"/>
      <c r="L32" s="134"/>
      <c r="M32" s="67"/>
      <c r="O32" s="170"/>
      <c r="Q32" t="s">
        <v>259</v>
      </c>
      <c r="S32" t="s">
        <v>259</v>
      </c>
      <c r="U32" s="172" t="s">
        <v>259</v>
      </c>
    </row>
    <row r="33" spans="1:27" ht="62" customHeight="1" x14ac:dyDescent="0.35">
      <c r="A33" s="196"/>
      <c r="B33" s="58" t="s">
        <v>121</v>
      </c>
      <c r="C33" s="40" t="s">
        <v>122</v>
      </c>
      <c r="D33" s="49" t="s">
        <v>123</v>
      </c>
      <c r="E33" s="49"/>
      <c r="F33" s="49" t="s">
        <v>124</v>
      </c>
      <c r="G33" s="49" t="s">
        <v>125</v>
      </c>
      <c r="H33" s="50"/>
      <c r="I33" s="49" t="s">
        <v>75</v>
      </c>
      <c r="J33" s="49" t="s">
        <v>114</v>
      </c>
      <c r="K33" s="51">
        <v>16</v>
      </c>
      <c r="L33" s="49"/>
      <c r="M33" s="38"/>
    </row>
    <row r="34" spans="1:27" ht="64.75" customHeight="1" x14ac:dyDescent="0.35">
      <c r="A34" s="196"/>
      <c r="B34" s="58" t="s">
        <v>126</v>
      </c>
      <c r="C34" s="55" t="s">
        <v>127</v>
      </c>
      <c r="D34" s="49" t="s">
        <v>128</v>
      </c>
      <c r="E34" s="49"/>
      <c r="F34" s="49" t="s">
        <v>247</v>
      </c>
      <c r="G34" s="49" t="s">
        <v>267</v>
      </c>
      <c r="H34" s="50"/>
      <c r="I34" s="49" t="s">
        <v>75</v>
      </c>
      <c r="J34" s="49" t="s">
        <v>129</v>
      </c>
      <c r="K34" s="51">
        <v>16</v>
      </c>
      <c r="L34" s="49">
        <v>9</v>
      </c>
      <c r="M34" s="38"/>
      <c r="N34" s="103"/>
      <c r="O34" s="128" t="s">
        <v>246</v>
      </c>
      <c r="P34" s="103"/>
      <c r="Q34" s="130">
        <v>68</v>
      </c>
      <c r="R34" s="129"/>
      <c r="S34" s="130">
        <v>46</v>
      </c>
      <c r="T34" s="129"/>
      <c r="U34" s="131">
        <v>33</v>
      </c>
    </row>
    <row r="35" spans="1:27" ht="15.4" customHeight="1" x14ac:dyDescent="0.35">
      <c r="A35" s="196"/>
      <c r="B35" s="57"/>
      <c r="C35" s="119"/>
      <c r="D35" s="38"/>
      <c r="E35" s="38"/>
      <c r="F35" s="38"/>
      <c r="G35" s="49" t="s">
        <v>266</v>
      </c>
      <c r="H35" s="11"/>
      <c r="I35" s="38"/>
      <c r="J35" s="38"/>
      <c r="K35" s="71"/>
      <c r="L35" s="38"/>
      <c r="M35" s="38"/>
      <c r="S35" s="173"/>
      <c r="U35" s="174">
        <v>6</v>
      </c>
    </row>
    <row r="36" spans="1:27" s="27" customFormat="1" ht="75.25" customHeight="1" x14ac:dyDescent="0.35">
      <c r="A36" s="197"/>
      <c r="B36" s="59"/>
      <c r="D36" s="46"/>
      <c r="E36" s="46"/>
      <c r="F36" s="47" t="s">
        <v>130</v>
      </c>
      <c r="G36" s="47" t="s">
        <v>131</v>
      </c>
      <c r="H36" s="26"/>
      <c r="I36" s="46"/>
      <c r="O36" s="122"/>
      <c r="R36" s="123"/>
      <c r="T36" s="123"/>
      <c r="U36" s="26" t="s">
        <v>278</v>
      </c>
      <c r="V36" s="123"/>
    </row>
    <row r="37" spans="1:27" s="62" customFormat="1" ht="12" customHeight="1" x14ac:dyDescent="0.35">
      <c r="A37" s="60"/>
      <c r="B37" s="61"/>
      <c r="D37" s="63"/>
      <c r="E37" s="63"/>
      <c r="F37" s="63"/>
      <c r="G37" s="63"/>
      <c r="H37" s="63"/>
      <c r="M37"/>
      <c r="N37"/>
      <c r="O37" s="121"/>
      <c r="P37"/>
      <c r="Q37"/>
      <c r="R37" s="66"/>
      <c r="S37"/>
      <c r="T37" s="66"/>
      <c r="U37"/>
      <c r="V37" s="66"/>
      <c r="W37"/>
      <c r="X37"/>
      <c r="Y37"/>
      <c r="Z37"/>
      <c r="AA37"/>
    </row>
    <row r="38" spans="1:27" s="66" customFormat="1" ht="41.5" hidden="1" customHeight="1" x14ac:dyDescent="0.35">
      <c r="A38" s="60"/>
      <c r="B38" s="64" t="s">
        <v>132</v>
      </c>
      <c r="C38" s="65" t="s">
        <v>133</v>
      </c>
      <c r="D38" s="67" t="s">
        <v>134</v>
      </c>
      <c r="E38" s="67"/>
      <c r="F38" s="67" t="s">
        <v>135</v>
      </c>
      <c r="G38" s="67" t="s">
        <v>136</v>
      </c>
      <c r="H38" s="68"/>
      <c r="I38" s="67" t="s">
        <v>105</v>
      </c>
      <c r="J38" s="67" t="s">
        <v>106</v>
      </c>
      <c r="K38" s="67"/>
      <c r="L38" s="67"/>
      <c r="M38" s="67"/>
      <c r="N38"/>
      <c r="O38" s="121"/>
      <c r="P38"/>
      <c r="Q38"/>
      <c r="S38"/>
      <c r="U38"/>
      <c r="W38"/>
      <c r="X38"/>
      <c r="Y38"/>
      <c r="Z38"/>
      <c r="AA38"/>
    </row>
  </sheetData>
  <mergeCells count="3">
    <mergeCell ref="A28:A36"/>
    <mergeCell ref="A3:A11"/>
    <mergeCell ref="A12:A27"/>
  </mergeCells>
  <pageMargins left="0.70866141732283472" right="0.70866141732283472" top="0.74803149606299213" bottom="0.74803149606299213" header="0.31496062992125984" footer="0.31496062992125984"/>
  <pageSetup paperSize="8" scale="25" orientation="landscape" r:id="rId1"/>
  <headerFooter>
    <oddFooter>&amp;R&amp;Z&amp;F&amp;D&amp;T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6A4A-3915-4587-9E48-80EAC6669D53}">
  <dimension ref="A1:AZ30"/>
  <sheetViews>
    <sheetView topLeftCell="A6" workbookViewId="0">
      <selection activeCell="A30" sqref="A30"/>
    </sheetView>
  </sheetViews>
  <sheetFormatPr defaultRowHeight="14.5" outlineLevelCol="1" x14ac:dyDescent="0.35"/>
  <cols>
    <col min="1" max="1" width="63.54296875" customWidth="1"/>
    <col min="2" max="3" width="18.6328125" customWidth="1"/>
    <col min="4" max="7" width="12.54296875" hidden="1" customWidth="1" outlineLevel="1"/>
    <col min="8" max="8" width="12.08984375" hidden="1" customWidth="1" outlineLevel="1"/>
    <col min="9" max="10" width="12.54296875" hidden="1" customWidth="1" outlineLevel="1"/>
    <col min="11" max="11" width="14.6328125" style="116" customWidth="1" collapsed="1"/>
    <col min="12" max="12" width="13.36328125" hidden="1" customWidth="1" outlineLevel="1"/>
    <col min="13" max="13" width="12.1796875" hidden="1" customWidth="1" outlineLevel="1"/>
    <col min="14" max="14" width="11.90625" hidden="1" customWidth="1" outlineLevel="1"/>
    <col min="15" max="15" width="12.453125" hidden="1" customWidth="1" outlineLevel="1"/>
    <col min="16" max="16" width="11.81640625" hidden="1" customWidth="1" outlineLevel="1"/>
    <col min="17" max="17" width="13.26953125" hidden="1" customWidth="1" outlineLevel="1"/>
    <col min="18" max="18" width="15.453125" style="116" customWidth="1" collapsed="1"/>
    <col min="19" max="19" width="13.453125" hidden="1" customWidth="1" outlineLevel="1"/>
    <col min="20" max="20" width="12" hidden="1" customWidth="1" outlineLevel="1"/>
    <col min="21" max="21" width="12.26953125" hidden="1" customWidth="1" outlineLevel="1"/>
    <col min="22" max="22" width="13.08984375" hidden="1" customWidth="1" outlineLevel="1"/>
    <col min="23" max="23" width="12.08984375" hidden="1" customWidth="1" outlineLevel="1"/>
    <col min="24" max="24" width="12.36328125" hidden="1" customWidth="1" outlineLevel="1"/>
    <col min="25" max="25" width="14.453125" style="116" customWidth="1" collapsed="1"/>
    <col min="26" max="26" width="14.81640625" hidden="1" customWidth="1" outlineLevel="1"/>
    <col min="27" max="27" width="13.08984375" hidden="1" customWidth="1" outlineLevel="1"/>
    <col min="28" max="28" width="11.26953125" hidden="1" customWidth="1" outlineLevel="1"/>
    <col min="29" max="29" width="12.90625" hidden="1" customWidth="1" outlineLevel="1"/>
    <col min="30" max="30" width="12.26953125" hidden="1" customWidth="1" outlineLevel="1"/>
    <col min="31" max="31" width="12.08984375" hidden="1" customWidth="1" outlineLevel="1"/>
    <col min="32" max="32" width="14.54296875" style="116" customWidth="1" collapsed="1"/>
    <col min="33" max="34" width="12.6328125" hidden="1" customWidth="1" outlineLevel="1"/>
    <col min="35" max="35" width="11.81640625" hidden="1" customWidth="1" outlineLevel="1"/>
    <col min="36" max="36" width="12.54296875" hidden="1" customWidth="1" outlineLevel="1"/>
    <col min="37" max="38" width="12" hidden="1" customWidth="1" outlineLevel="1"/>
    <col min="39" max="39" width="13" customWidth="1" collapsed="1"/>
    <col min="40" max="40" width="10.90625" hidden="1" customWidth="1" outlineLevel="1"/>
    <col min="41" max="41" width="11.90625" hidden="1" customWidth="1" outlineLevel="1"/>
    <col min="42" max="44" width="10.90625" hidden="1" customWidth="1" outlineLevel="1"/>
    <col min="45" max="45" width="12" hidden="1" customWidth="1" outlineLevel="1"/>
    <col min="46" max="46" width="12" bestFit="1" customWidth="1" collapsed="1"/>
    <col min="47" max="47" width="10.90625" bestFit="1" customWidth="1"/>
    <col min="48" max="48" width="11.90625" bestFit="1" customWidth="1"/>
    <col min="49" max="51" width="10.90625" bestFit="1" customWidth="1"/>
    <col min="52" max="52" width="12" bestFit="1" customWidth="1"/>
  </cols>
  <sheetData>
    <row r="1" spans="1:52" ht="18" x14ac:dyDescent="0.4">
      <c r="A1" s="76" t="s">
        <v>9</v>
      </c>
    </row>
    <row r="2" spans="1:52" s="106" customFormat="1" ht="62" x14ac:dyDescent="0.35">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06" t="s">
        <v>188</v>
      </c>
      <c r="AN2" s="106" t="s">
        <v>212</v>
      </c>
      <c r="AO2" s="106" t="s">
        <v>213</v>
      </c>
      <c r="AP2" s="106" t="s">
        <v>214</v>
      </c>
      <c r="AQ2" s="106" t="s">
        <v>215</v>
      </c>
      <c r="AR2" s="106" t="s">
        <v>186</v>
      </c>
      <c r="AS2" s="106" t="s">
        <v>216</v>
      </c>
    </row>
    <row r="3" spans="1:52" x14ac:dyDescent="0.35">
      <c r="M3" s="78"/>
      <c r="N3" s="78"/>
      <c r="O3" s="3"/>
      <c r="P3" s="3"/>
    </row>
    <row r="4" spans="1:52" ht="15.5" x14ac:dyDescent="0.35">
      <c r="A4" s="94" t="s">
        <v>166</v>
      </c>
      <c r="B4" s="94" t="s">
        <v>167</v>
      </c>
      <c r="C4" s="94">
        <v>12247003</v>
      </c>
      <c r="D4" s="94">
        <v>0</v>
      </c>
      <c r="E4" s="94">
        <v>0</v>
      </c>
      <c r="F4" s="94">
        <v>0</v>
      </c>
      <c r="G4" s="94">
        <v>0</v>
      </c>
      <c r="H4" s="94">
        <v>0</v>
      </c>
      <c r="I4" s="94">
        <v>0</v>
      </c>
      <c r="J4" s="94">
        <v>12247003</v>
      </c>
      <c r="K4" s="114">
        <v>13003619</v>
      </c>
      <c r="L4" s="91">
        <v>0</v>
      </c>
      <c r="M4" s="91">
        <v>0</v>
      </c>
      <c r="N4" s="91">
        <v>0</v>
      </c>
      <c r="O4" s="91">
        <v>0</v>
      </c>
      <c r="P4" s="91">
        <v>0</v>
      </c>
      <c r="Q4" s="91">
        <v>13003619</v>
      </c>
      <c r="R4" s="113">
        <v>10976638.880000001</v>
      </c>
      <c r="S4" s="91">
        <v>0</v>
      </c>
      <c r="T4" s="91">
        <v>0</v>
      </c>
      <c r="U4" s="91">
        <v>0</v>
      </c>
      <c r="V4" s="91">
        <v>0</v>
      </c>
      <c r="W4" s="91">
        <v>0</v>
      </c>
      <c r="X4" s="91">
        <v>10976638.880000001</v>
      </c>
      <c r="Y4" s="112">
        <v>10795117</v>
      </c>
      <c r="Z4" s="91">
        <v>0</v>
      </c>
      <c r="AA4" s="91">
        <v>0</v>
      </c>
      <c r="AB4" s="91">
        <v>69516.100782758629</v>
      </c>
      <c r="AC4" s="91">
        <v>0</v>
      </c>
      <c r="AD4" s="91">
        <v>0</v>
      </c>
      <c r="AE4" s="91">
        <v>10795117</v>
      </c>
      <c r="AF4" s="112"/>
      <c r="AG4" s="91"/>
      <c r="AH4" s="91"/>
      <c r="AI4" s="91"/>
      <c r="AJ4" s="91"/>
      <c r="AK4" s="91"/>
      <c r="AL4" s="91"/>
      <c r="AM4" s="91"/>
      <c r="AN4" s="91"/>
      <c r="AO4" s="91"/>
      <c r="AP4" s="91"/>
      <c r="AQ4" s="91"/>
      <c r="AR4" s="91"/>
      <c r="AS4" s="91"/>
      <c r="AT4" s="91"/>
      <c r="AU4" s="91"/>
      <c r="AV4" s="91"/>
      <c r="AW4" s="91"/>
      <c r="AX4" s="91"/>
      <c r="AY4" s="91"/>
      <c r="AZ4" s="91"/>
    </row>
    <row r="5" spans="1:52" ht="15.5" x14ac:dyDescent="0.35">
      <c r="A5" s="94" t="s">
        <v>10</v>
      </c>
      <c r="B5" s="94" t="s">
        <v>11</v>
      </c>
      <c r="C5" s="94">
        <v>11769302</v>
      </c>
      <c r="D5" s="94">
        <v>0</v>
      </c>
      <c r="E5" s="94">
        <v>0</v>
      </c>
      <c r="F5" s="94">
        <v>0</v>
      </c>
      <c r="G5" s="94">
        <v>0</v>
      </c>
      <c r="H5" s="94">
        <v>1900530</v>
      </c>
      <c r="I5" s="94">
        <v>0</v>
      </c>
      <c r="J5" s="94">
        <v>9868772</v>
      </c>
      <c r="K5" s="114">
        <v>11011390.057272727</v>
      </c>
      <c r="L5" s="91">
        <v>0</v>
      </c>
      <c r="M5" s="91">
        <v>0</v>
      </c>
      <c r="N5" s="91">
        <v>0</v>
      </c>
      <c r="O5" s="91">
        <v>0</v>
      </c>
      <c r="P5" s="91">
        <v>2069650</v>
      </c>
      <c r="Q5" s="91">
        <v>8941740.0572727267</v>
      </c>
      <c r="R5" s="113">
        <v>10889321.43</v>
      </c>
      <c r="S5" s="91">
        <v>0</v>
      </c>
      <c r="T5" s="91">
        <v>0</v>
      </c>
      <c r="U5" s="91">
        <v>0</v>
      </c>
      <c r="V5" s="91">
        <v>0</v>
      </c>
      <c r="W5" s="91">
        <v>2475147</v>
      </c>
      <c r="X5" s="91">
        <v>8414174.4299999997</v>
      </c>
      <c r="Y5" s="112">
        <v>15338346.6</v>
      </c>
      <c r="Z5" s="92">
        <v>0</v>
      </c>
      <c r="AA5" s="91">
        <v>0</v>
      </c>
      <c r="AB5" s="91">
        <v>0</v>
      </c>
      <c r="AC5" s="91">
        <v>0</v>
      </c>
      <c r="AD5" s="91">
        <v>2931700</v>
      </c>
      <c r="AE5" s="91">
        <v>12406646.6</v>
      </c>
      <c r="AF5" s="113">
        <v>17514466.469999999</v>
      </c>
      <c r="AG5" s="91">
        <v>0</v>
      </c>
      <c r="AH5" s="91">
        <v>16542</v>
      </c>
      <c r="AI5" s="91">
        <v>0</v>
      </c>
      <c r="AJ5" s="91">
        <v>0</v>
      </c>
      <c r="AK5" s="91">
        <v>4015680</v>
      </c>
      <c r="AL5" s="91">
        <v>13482244.469999999</v>
      </c>
      <c r="AM5" s="92">
        <v>18007060</v>
      </c>
      <c r="AN5" s="91"/>
      <c r="AO5" s="91"/>
      <c r="AP5" s="91"/>
      <c r="AQ5" s="91"/>
      <c r="AR5" s="91">
        <v>8755144</v>
      </c>
      <c r="AS5" s="91">
        <v>13482780</v>
      </c>
      <c r="AT5" s="92"/>
      <c r="AU5" s="91"/>
      <c r="AV5" s="91"/>
      <c r="AW5" s="91"/>
      <c r="AX5" s="91"/>
      <c r="AY5" s="91"/>
      <c r="AZ5" s="91"/>
    </row>
    <row r="6" spans="1:52" ht="15.5" x14ac:dyDescent="0.35">
      <c r="A6" s="94" t="s">
        <v>12</v>
      </c>
      <c r="B6" s="94" t="s">
        <v>167</v>
      </c>
      <c r="C6" s="94">
        <v>31491927.246152595</v>
      </c>
      <c r="D6" s="94">
        <v>860734</v>
      </c>
      <c r="E6" s="94">
        <v>4014164</v>
      </c>
      <c r="F6" s="94">
        <v>69888.100000000006</v>
      </c>
      <c r="G6" s="94">
        <v>2310718</v>
      </c>
      <c r="H6" s="94">
        <v>6457185.2800000003</v>
      </c>
      <c r="I6" s="94">
        <v>11803788.460610606</v>
      </c>
      <c r="J6" s="94">
        <v>5975449.4055419872</v>
      </c>
      <c r="K6" s="114">
        <v>30301714.436596088</v>
      </c>
      <c r="L6" s="91">
        <v>898420.96153988666</v>
      </c>
      <c r="M6" s="91">
        <v>3714310.9070322579</v>
      </c>
      <c r="N6" s="91">
        <v>52390</v>
      </c>
      <c r="O6" s="91">
        <v>2151932.62</v>
      </c>
      <c r="P6" s="91">
        <v>6112720</v>
      </c>
      <c r="Q6" s="91">
        <v>17371939.948023945</v>
      </c>
      <c r="R6" s="113">
        <v>27714055.097861223</v>
      </c>
      <c r="S6" s="91">
        <v>1047980.6900000001</v>
      </c>
      <c r="T6" s="91">
        <v>3857574.1354269409</v>
      </c>
      <c r="U6" s="91">
        <v>33590</v>
      </c>
      <c r="V6" s="91">
        <v>2174768.12</v>
      </c>
      <c r="W6" s="91">
        <v>8459941.0824342798</v>
      </c>
      <c r="X6" s="91">
        <v>10404002.370000001</v>
      </c>
      <c r="Y6" s="112">
        <v>33901752.401634701</v>
      </c>
      <c r="Z6" s="92">
        <v>1215162</v>
      </c>
      <c r="AA6" s="91">
        <f>4173830-75965+325392</f>
        <v>4423257</v>
      </c>
      <c r="AB6" s="91">
        <v>41930.15</v>
      </c>
      <c r="AC6" s="91">
        <f>2487298.41+75965</f>
        <v>2563263.41</v>
      </c>
      <c r="AD6" s="91">
        <v>12983053.18</v>
      </c>
      <c r="AE6" s="91">
        <f>11812762.2896347-325392</f>
        <v>11487370.289634701</v>
      </c>
      <c r="AF6" s="113">
        <v>31585245.679290593</v>
      </c>
      <c r="AG6" s="91">
        <v>1965870.38</v>
      </c>
      <c r="AH6" s="91">
        <v>4813038.5859075468</v>
      </c>
      <c r="AI6" s="91">
        <v>22515.545600000001</v>
      </c>
      <c r="AJ6" s="91">
        <v>2017104.98</v>
      </c>
      <c r="AK6" s="91">
        <v>10028634.840590801</v>
      </c>
      <c r="AL6" s="91">
        <v>12194412.097192245</v>
      </c>
      <c r="AM6" s="92">
        <v>38635264.990000002</v>
      </c>
      <c r="AN6" s="91">
        <v>1987208</v>
      </c>
      <c r="AO6" s="91">
        <v>4279819.74</v>
      </c>
      <c r="AP6" s="91">
        <v>21022</v>
      </c>
      <c r="AQ6" s="91">
        <v>2531744.3199999998</v>
      </c>
      <c r="AR6" s="91">
        <v>363400</v>
      </c>
      <c r="AS6" s="91">
        <v>10959248.52</v>
      </c>
      <c r="AT6" s="92"/>
      <c r="AU6" s="91"/>
      <c r="AV6" s="91"/>
      <c r="AW6" s="91"/>
      <c r="AX6" s="91"/>
      <c r="AY6" s="91"/>
      <c r="AZ6" s="91"/>
    </row>
    <row r="7" spans="1:52" ht="15.5" x14ac:dyDescent="0.35">
      <c r="A7" s="94" t="s">
        <v>168</v>
      </c>
      <c r="B7" s="94" t="s">
        <v>167</v>
      </c>
      <c r="C7" s="94">
        <v>353677</v>
      </c>
      <c r="D7" s="94">
        <v>0</v>
      </c>
      <c r="E7" s="94">
        <v>0</v>
      </c>
      <c r="F7" s="94">
        <v>0</v>
      </c>
      <c r="G7" s="94">
        <v>0</v>
      </c>
      <c r="H7" s="94">
        <v>0</v>
      </c>
      <c r="I7" s="94">
        <v>353677</v>
      </c>
      <c r="J7" s="94">
        <v>0</v>
      </c>
      <c r="K7" s="114">
        <v>167357</v>
      </c>
      <c r="L7" s="91">
        <v>0</v>
      </c>
      <c r="M7" s="91">
        <v>9188</v>
      </c>
      <c r="N7" s="91">
        <v>0</v>
      </c>
      <c r="O7" s="91">
        <v>800</v>
      </c>
      <c r="P7" s="91">
        <v>0</v>
      </c>
      <c r="Q7" s="91">
        <v>157369</v>
      </c>
      <c r="R7" s="112"/>
      <c r="S7" s="91"/>
      <c r="T7" s="91"/>
      <c r="U7" s="91"/>
      <c r="V7" s="91"/>
      <c r="W7" s="91"/>
      <c r="X7" s="91"/>
      <c r="Y7" s="112"/>
      <c r="Z7" s="91"/>
      <c r="AA7" s="91"/>
      <c r="AB7" s="91"/>
      <c r="AC7" s="91"/>
      <c r="AD7" s="91"/>
      <c r="AE7" s="91"/>
      <c r="AF7" s="112"/>
      <c r="AG7" s="91"/>
      <c r="AH7" s="91"/>
      <c r="AI7" s="91"/>
      <c r="AJ7" s="91"/>
      <c r="AK7" s="91"/>
      <c r="AL7" s="91"/>
      <c r="AM7" s="92">
        <v>48374.76</v>
      </c>
      <c r="AN7" s="91"/>
      <c r="AO7" s="91"/>
      <c r="AP7" s="91"/>
      <c r="AQ7" s="91">
        <v>714.81</v>
      </c>
      <c r="AR7" s="91">
        <v>4524300</v>
      </c>
      <c r="AS7" s="91">
        <v>68.95</v>
      </c>
      <c r="AT7" s="92"/>
      <c r="AU7" s="91"/>
      <c r="AV7" s="91"/>
      <c r="AW7" s="91"/>
      <c r="AX7" s="91"/>
      <c r="AY7" s="91"/>
      <c r="AZ7" s="91"/>
    </row>
    <row r="8" spans="1:52" ht="15.5" x14ac:dyDescent="0.35">
      <c r="A8" s="94" t="s">
        <v>13</v>
      </c>
      <c r="B8" s="94" t="s">
        <v>167</v>
      </c>
      <c r="C8" s="94">
        <v>12300844.457476432</v>
      </c>
      <c r="D8" s="94">
        <v>1380762</v>
      </c>
      <c r="E8" s="94">
        <v>2206118</v>
      </c>
      <c r="F8" s="94">
        <v>132325.6</v>
      </c>
      <c r="G8" s="94">
        <v>1462512</v>
      </c>
      <c r="H8" s="94">
        <v>217379.31</v>
      </c>
      <c r="I8" s="94">
        <v>2278016.1556291026</v>
      </c>
      <c r="J8" s="94">
        <v>4619161.3918473283</v>
      </c>
      <c r="K8" s="114">
        <v>12437061.63986348</v>
      </c>
      <c r="L8" s="91">
        <v>1374678.8553608733</v>
      </c>
      <c r="M8" s="91">
        <v>2375524.5351612903</v>
      </c>
      <c r="N8" s="91">
        <v>227615</v>
      </c>
      <c r="O8" s="91">
        <v>1384588.86</v>
      </c>
      <c r="P8" s="91">
        <v>266235</v>
      </c>
      <c r="Q8" s="91">
        <v>6804870.3893413171</v>
      </c>
      <c r="R8" s="113">
        <v>15608657.668920727</v>
      </c>
      <c r="S8" s="91">
        <v>1780877.46</v>
      </c>
      <c r="T8" s="91">
        <v>2724582.4531271597</v>
      </c>
      <c r="U8" s="91">
        <v>442889.50580645161</v>
      </c>
      <c r="V8" s="91">
        <v>1698893.1500000001</v>
      </c>
      <c r="W8" s="91">
        <v>348859.97998711572</v>
      </c>
      <c r="X8" s="91">
        <v>8544671.4000000004</v>
      </c>
      <c r="Y8" s="112">
        <v>16392639.824073773</v>
      </c>
      <c r="Z8" s="92">
        <v>1925397</v>
      </c>
      <c r="AA8" s="91">
        <f>3443799.62-99238+89475</f>
        <v>3434036.62</v>
      </c>
      <c r="AB8" s="91">
        <v>609898.31999999995</v>
      </c>
      <c r="AC8" s="91">
        <f>1762225.91+99238</f>
        <v>1861463.91</v>
      </c>
      <c r="AD8" s="91">
        <v>305382.80403037614</v>
      </c>
      <c r="AE8" s="91">
        <f>7955471.92004339-89475</f>
        <v>7865996.9200433902</v>
      </c>
      <c r="AF8" s="113">
        <v>19462820.185923032</v>
      </c>
      <c r="AG8" s="91">
        <v>4058610.69</v>
      </c>
      <c r="AH8" s="91">
        <v>3843928.0152484355</v>
      </c>
      <c r="AI8" s="91">
        <v>885681.53</v>
      </c>
      <c r="AJ8" s="91">
        <v>1879742.5699999998</v>
      </c>
      <c r="AK8" s="91">
        <v>323454.26572782104</v>
      </c>
      <c r="AL8" s="91">
        <v>8454539.9149467777</v>
      </c>
      <c r="AM8" s="92">
        <v>22214978.690000001</v>
      </c>
      <c r="AN8" s="91">
        <v>4631679</v>
      </c>
      <c r="AO8" s="91">
        <v>3702917.1900000004</v>
      </c>
      <c r="AP8" s="91">
        <v>549355.56000000006</v>
      </c>
      <c r="AQ8" s="91">
        <v>2215164.69</v>
      </c>
      <c r="AR8" s="91">
        <v>2662750</v>
      </c>
      <c r="AS8" s="91">
        <v>10238976.76</v>
      </c>
      <c r="AT8" s="92"/>
      <c r="AU8" s="91"/>
      <c r="AV8" s="91"/>
      <c r="AW8" s="91"/>
      <c r="AX8" s="91"/>
      <c r="AY8" s="91"/>
      <c r="AZ8" s="91"/>
    </row>
    <row r="9" spans="1:52" ht="15.5" x14ac:dyDescent="0.35">
      <c r="A9" s="94" t="s">
        <v>14</v>
      </c>
      <c r="B9" s="94" t="s">
        <v>11</v>
      </c>
      <c r="C9" s="94">
        <v>2244110.7812395152</v>
      </c>
      <c r="D9" s="94">
        <v>0</v>
      </c>
      <c r="E9" s="94">
        <v>1057</v>
      </c>
      <c r="F9" s="94">
        <v>0</v>
      </c>
      <c r="G9" s="94">
        <v>358</v>
      </c>
      <c r="H9" s="94">
        <v>0</v>
      </c>
      <c r="I9" s="94">
        <v>2242695.7812395152</v>
      </c>
      <c r="J9" s="94">
        <v>0</v>
      </c>
      <c r="K9" s="114">
        <v>2757192</v>
      </c>
      <c r="L9" s="91">
        <v>0</v>
      </c>
      <c r="M9" s="91">
        <v>1161</v>
      </c>
      <c r="N9" s="91">
        <v>0</v>
      </c>
      <c r="O9" s="91">
        <v>360</v>
      </c>
      <c r="P9" s="91">
        <v>0</v>
      </c>
      <c r="Q9" s="91">
        <v>2755671</v>
      </c>
      <c r="R9" s="113">
        <v>65064.98</v>
      </c>
      <c r="S9" s="91">
        <v>0</v>
      </c>
      <c r="T9" s="91">
        <v>633</v>
      </c>
      <c r="U9" s="91">
        <v>0</v>
      </c>
      <c r="V9" s="91">
        <v>0</v>
      </c>
      <c r="W9" s="91">
        <v>0</v>
      </c>
      <c r="X9" s="91">
        <v>64431.98</v>
      </c>
      <c r="Y9" s="112">
        <v>872</v>
      </c>
      <c r="Z9" s="92">
        <v>0</v>
      </c>
      <c r="AA9" s="91">
        <v>323</v>
      </c>
      <c r="AB9" s="91">
        <v>0</v>
      </c>
      <c r="AC9" s="91">
        <v>456</v>
      </c>
      <c r="AD9" s="91">
        <v>0</v>
      </c>
      <c r="AE9" s="91">
        <v>57</v>
      </c>
      <c r="AF9" s="113"/>
      <c r="AG9" s="91"/>
      <c r="AH9" s="91"/>
      <c r="AI9" s="91"/>
      <c r="AJ9" s="91"/>
      <c r="AK9" s="91"/>
      <c r="AL9" s="91"/>
      <c r="AM9" s="92">
        <v>31534.639999999999</v>
      </c>
      <c r="AN9" s="91"/>
      <c r="AO9" s="91">
        <v>22305.809999999998</v>
      </c>
      <c r="AP9" s="91"/>
      <c r="AQ9" s="91">
        <v>23629.23</v>
      </c>
      <c r="AR9" s="91">
        <v>71646</v>
      </c>
      <c r="AS9" s="91"/>
      <c r="AT9" s="92"/>
      <c r="AU9" s="91"/>
      <c r="AV9" s="91"/>
      <c r="AW9" s="91"/>
      <c r="AX9" s="91"/>
      <c r="AY9" s="91"/>
      <c r="AZ9" s="91"/>
    </row>
    <row r="10" spans="1:52" ht="15.5" x14ac:dyDescent="0.35">
      <c r="A10" s="94" t="s">
        <v>15</v>
      </c>
      <c r="B10" s="94" t="s">
        <v>11</v>
      </c>
      <c r="C10" s="94">
        <v>175612.071</v>
      </c>
      <c r="D10" s="94">
        <v>0</v>
      </c>
      <c r="E10" s="94">
        <v>14336.5</v>
      </c>
      <c r="F10" s="94">
        <v>0</v>
      </c>
      <c r="G10" s="94">
        <v>92734</v>
      </c>
      <c r="H10" s="94">
        <v>58728</v>
      </c>
      <c r="I10" s="94">
        <v>9813.5709999999999</v>
      </c>
      <c r="J10" s="94">
        <v>0</v>
      </c>
      <c r="K10" s="114">
        <v>140414</v>
      </c>
      <c r="L10" s="91">
        <v>0</v>
      </c>
      <c r="M10" s="91">
        <v>17033</v>
      </c>
      <c r="N10" s="91">
        <v>0</v>
      </c>
      <c r="O10" s="91">
        <v>84736</v>
      </c>
      <c r="P10" s="91">
        <v>32335</v>
      </c>
      <c r="Q10" s="91">
        <v>6310</v>
      </c>
      <c r="R10" s="113">
        <v>119235</v>
      </c>
      <c r="S10" s="91">
        <v>0</v>
      </c>
      <c r="T10" s="91">
        <v>13845</v>
      </c>
      <c r="U10" s="91">
        <v>0</v>
      </c>
      <c r="V10" s="91">
        <v>85895</v>
      </c>
      <c r="W10" s="91">
        <v>18383</v>
      </c>
      <c r="X10" s="91">
        <v>1112</v>
      </c>
      <c r="Y10" s="112">
        <v>168351.8</v>
      </c>
      <c r="Z10" s="92">
        <v>0</v>
      </c>
      <c r="AA10" s="91">
        <v>13909</v>
      </c>
      <c r="AB10" s="91">
        <v>0</v>
      </c>
      <c r="AC10" s="91">
        <v>86213</v>
      </c>
      <c r="AD10" s="91">
        <v>68034</v>
      </c>
      <c r="AE10" s="91">
        <v>195.8</v>
      </c>
      <c r="AF10" s="113">
        <v>798045.94435191399</v>
      </c>
      <c r="AG10" s="91">
        <v>0</v>
      </c>
      <c r="AH10" s="91">
        <v>13905</v>
      </c>
      <c r="AI10" s="91">
        <v>0</v>
      </c>
      <c r="AJ10" s="91">
        <v>28142</v>
      </c>
      <c r="AK10" s="91">
        <v>755980.94435191399</v>
      </c>
      <c r="AL10" s="91">
        <v>18</v>
      </c>
      <c r="AM10" s="92">
        <v>515933.4</v>
      </c>
      <c r="AN10" s="91"/>
      <c r="AO10" s="91">
        <v>21915.4</v>
      </c>
      <c r="AP10" s="91"/>
      <c r="AQ10" s="91">
        <v>353158</v>
      </c>
      <c r="AR10" s="91"/>
      <c r="AS10" s="91">
        <v>1169</v>
      </c>
      <c r="AT10" s="92"/>
      <c r="AU10" s="91"/>
      <c r="AV10" s="91"/>
      <c r="AW10" s="91"/>
      <c r="AX10" s="91"/>
      <c r="AY10" s="91"/>
      <c r="AZ10" s="91"/>
    </row>
    <row r="11" spans="1:52" ht="15.5" x14ac:dyDescent="0.35">
      <c r="A11" s="94" t="s">
        <v>169</v>
      </c>
      <c r="B11" s="94" t="s">
        <v>170</v>
      </c>
      <c r="C11" s="94">
        <v>2307597.5</v>
      </c>
      <c r="D11" s="94">
        <v>0</v>
      </c>
      <c r="E11" s="94">
        <v>115.5</v>
      </c>
      <c r="F11" s="94">
        <v>0</v>
      </c>
      <c r="G11" s="94">
        <v>0</v>
      </c>
      <c r="H11" s="94">
        <v>2292419</v>
      </c>
      <c r="I11" s="94">
        <v>15063</v>
      </c>
      <c r="J11" s="94">
        <v>0</v>
      </c>
      <c r="K11" s="114">
        <v>2735482.68</v>
      </c>
      <c r="L11" s="91">
        <v>0</v>
      </c>
      <c r="M11" s="91">
        <v>223</v>
      </c>
      <c r="N11" s="91">
        <v>0</v>
      </c>
      <c r="O11" s="91">
        <v>0</v>
      </c>
      <c r="P11" s="91">
        <v>1968738</v>
      </c>
      <c r="Q11" s="91">
        <v>766521.68</v>
      </c>
      <c r="R11" s="113">
        <v>2029495</v>
      </c>
      <c r="S11" s="91">
        <v>0</v>
      </c>
      <c r="T11" s="91">
        <v>0</v>
      </c>
      <c r="U11" s="91">
        <v>0</v>
      </c>
      <c r="V11" s="91">
        <v>0</v>
      </c>
      <c r="W11" s="91">
        <v>2029495</v>
      </c>
      <c r="X11" s="91">
        <v>0</v>
      </c>
      <c r="Y11" s="112">
        <v>2201871</v>
      </c>
      <c r="Z11" s="92">
        <v>0</v>
      </c>
      <c r="AA11" s="91">
        <v>0</v>
      </c>
      <c r="AB11" s="91">
        <v>0</v>
      </c>
      <c r="AC11" s="91">
        <v>0</v>
      </c>
      <c r="AD11" s="91">
        <v>2201871</v>
      </c>
      <c r="AE11" s="91">
        <v>0</v>
      </c>
      <c r="AF11" s="112"/>
      <c r="AG11" s="91"/>
      <c r="AH11" s="91"/>
      <c r="AI11" s="91"/>
      <c r="AJ11" s="91"/>
      <c r="AK11" s="91"/>
      <c r="AL11" s="91"/>
      <c r="AM11" s="92"/>
      <c r="AN11" s="91"/>
      <c r="AO11" s="91"/>
      <c r="AP11" s="91"/>
      <c r="AQ11" s="91"/>
      <c r="AR11" s="91"/>
      <c r="AS11" s="91"/>
      <c r="AT11" s="92"/>
      <c r="AU11" s="91"/>
      <c r="AV11" s="91"/>
      <c r="AW11" s="91"/>
      <c r="AX11" s="91"/>
      <c r="AY11" s="91"/>
      <c r="AZ11" s="91"/>
    </row>
    <row r="12" spans="1:52" s="103" customFormat="1" ht="15.5" x14ac:dyDescent="0.35">
      <c r="A12" s="93" t="s">
        <v>172</v>
      </c>
      <c r="B12" s="93" t="s">
        <v>217</v>
      </c>
      <c r="C12" s="93">
        <v>176592.06883374453</v>
      </c>
      <c r="D12" s="93">
        <v>5184.9742172599999</v>
      </c>
      <c r="E12" s="93">
        <v>15048.27714835</v>
      </c>
      <c r="F12" s="93">
        <v>464.821746555</v>
      </c>
      <c r="G12" s="93">
        <v>9327.3504050999982</v>
      </c>
      <c r="H12" s="93">
        <v>28904.500357314602</v>
      </c>
      <c r="I12" s="93">
        <v>37791</v>
      </c>
      <c r="J12" s="93">
        <v>79861.237107764915</v>
      </c>
      <c r="K12" s="188">
        <v>179519.77899214881</v>
      </c>
      <c r="L12" s="95">
        <v>5267.7379727088774</v>
      </c>
      <c r="M12" s="95">
        <v>14660.65003700172</v>
      </c>
      <c r="N12" s="95">
        <v>626.86038399999995</v>
      </c>
      <c r="O12" s="95">
        <v>8730.6396205157998</v>
      </c>
      <c r="P12" s="95">
        <v>27428.013163610001</v>
      </c>
      <c r="Q12" s="95">
        <v>122798.06781431242</v>
      </c>
      <c r="R12" s="187">
        <v>133618.39047436329</v>
      </c>
      <c r="S12" s="95">
        <v>6441.3234301199009</v>
      </c>
      <c r="T12" s="95">
        <v>15744.713802489397</v>
      </c>
      <c r="U12" s="95">
        <v>1012.9523778378065</v>
      </c>
      <c r="V12" s="95">
        <v>9445.2155582331998</v>
      </c>
      <c r="W12" s="95">
        <v>35283.480630248654</v>
      </c>
      <c r="X12" s="95">
        <v>93673.248128601175</v>
      </c>
      <c r="Y12" s="185">
        <v>197687.47377771244</v>
      </c>
      <c r="Z12" s="96">
        <v>7433.9420330699995</v>
      </c>
      <c r="AA12" s="95">
        <f>18593.0831942934-418+1052</f>
        <v>19227.083194293398</v>
      </c>
      <c r="AB12" s="95">
        <v>4915.7553258685793</v>
      </c>
      <c r="AC12" s="95">
        <f>10670.7783531491+418</f>
        <v>11088.7783531491</v>
      </c>
      <c r="AD12" s="95">
        <v>49165.221655914393</v>
      </c>
      <c r="AE12" s="95">
        <f>106390.273261013-1052</f>
        <v>105338.273261013</v>
      </c>
      <c r="AF12" s="187">
        <v>170365.26</v>
      </c>
      <c r="AG12" s="95">
        <v>14643.92</v>
      </c>
      <c r="AH12" s="95">
        <v>21744.799999999996</v>
      </c>
      <c r="AI12" s="95">
        <v>2131.4499999999998</v>
      </c>
      <c r="AJ12" s="95">
        <v>9792.35</v>
      </c>
      <c r="AK12" s="95">
        <v>37557.89</v>
      </c>
      <c r="AL12" s="95">
        <v>82998.87</v>
      </c>
      <c r="AM12" s="96">
        <v>212909.97999999998</v>
      </c>
      <c r="AN12" s="95">
        <v>15997.56</v>
      </c>
      <c r="AO12" s="95">
        <v>18350.629999999997</v>
      </c>
      <c r="AP12" s="95">
        <v>1325.35</v>
      </c>
      <c r="AQ12" s="95">
        <v>7323.65</v>
      </c>
      <c r="AR12" s="95">
        <v>44762.25</v>
      </c>
      <c r="AS12" s="95">
        <v>82164.259999999995</v>
      </c>
      <c r="AT12" s="96"/>
      <c r="AU12" s="95"/>
      <c r="AV12" s="95"/>
      <c r="AW12" s="95"/>
      <c r="AX12" s="95"/>
      <c r="AY12" s="95"/>
      <c r="AZ12" s="95"/>
    </row>
    <row r="13" spans="1:52" ht="15.5" x14ac:dyDescent="0.35">
      <c r="A13" s="94"/>
      <c r="B13" s="94"/>
      <c r="C13" s="94"/>
      <c r="D13" s="94"/>
      <c r="E13" s="94"/>
      <c r="F13" s="94"/>
      <c r="G13" s="94"/>
      <c r="H13" s="94"/>
      <c r="I13" s="94"/>
      <c r="J13" s="94"/>
      <c r="K13" s="114"/>
      <c r="L13" s="91"/>
      <c r="M13" s="91"/>
      <c r="N13" s="91"/>
      <c r="O13" s="91"/>
      <c r="P13" s="91"/>
      <c r="Q13" s="91"/>
      <c r="R13" s="113"/>
      <c r="S13" s="91"/>
      <c r="T13" s="91"/>
      <c r="U13" s="91"/>
      <c r="V13" s="91"/>
      <c r="W13" s="91"/>
      <c r="X13" s="91"/>
      <c r="Y13" s="112"/>
      <c r="Z13" s="92"/>
      <c r="AA13" s="91"/>
      <c r="AB13" s="91"/>
      <c r="AC13" s="91"/>
      <c r="AD13" s="91"/>
      <c r="AE13" s="91"/>
      <c r="AF13" s="113"/>
      <c r="AG13" s="91"/>
      <c r="AH13" s="91"/>
      <c r="AI13" s="91"/>
      <c r="AJ13" s="91"/>
      <c r="AK13" s="91"/>
      <c r="AL13" s="91"/>
      <c r="AM13" s="92"/>
      <c r="AN13" s="91"/>
      <c r="AO13" s="91"/>
      <c r="AP13" s="91"/>
      <c r="AQ13" s="91"/>
      <c r="AR13" s="91"/>
      <c r="AS13" s="91"/>
      <c r="AT13" s="92"/>
      <c r="AU13" s="91"/>
      <c r="AV13" s="91"/>
      <c r="AW13" s="91"/>
      <c r="AX13" s="91"/>
      <c r="AY13" s="91"/>
      <c r="AZ13" s="91"/>
    </row>
    <row r="14" spans="1:52" ht="15.5" x14ac:dyDescent="0.35">
      <c r="A14" s="94" t="s">
        <v>16</v>
      </c>
      <c r="B14" s="94" t="s">
        <v>17</v>
      </c>
      <c r="C14" s="94">
        <v>130830033.59271884</v>
      </c>
      <c r="D14" s="94">
        <v>17455793</v>
      </c>
      <c r="E14" s="94">
        <v>21622244.944169905</v>
      </c>
      <c r="F14" s="94">
        <v>2916041</v>
      </c>
      <c r="G14" s="94">
        <v>27207678</v>
      </c>
      <c r="H14" s="94">
        <v>42274146.555999994</v>
      </c>
      <c r="I14" s="94">
        <v>7052775.3809050918</v>
      </c>
      <c r="J14" s="94">
        <v>12128966.711643843</v>
      </c>
      <c r="K14" s="114">
        <v>136377435.570721</v>
      </c>
      <c r="L14" s="91">
        <v>19179165.554000001</v>
      </c>
      <c r="M14" s="91">
        <v>26788709.762000002</v>
      </c>
      <c r="N14" s="91">
        <v>3231967</v>
      </c>
      <c r="O14" s="91">
        <v>31228440.188038342</v>
      </c>
      <c r="P14" s="91">
        <v>44027233.810000002</v>
      </c>
      <c r="Q14" s="91">
        <v>11740127.256682668</v>
      </c>
      <c r="R14" s="113">
        <v>142968354.63952044</v>
      </c>
      <c r="S14" s="91">
        <v>24855066.649999999</v>
      </c>
      <c r="T14" s="91">
        <v>21760199.550834488</v>
      </c>
      <c r="U14" s="91">
        <v>5351854.7837913483</v>
      </c>
      <c r="V14" s="91">
        <v>29246919.773909334</v>
      </c>
      <c r="W14" s="91">
        <v>47829257.479456037</v>
      </c>
      <c r="X14" s="91">
        <v>10084228.121529222</v>
      </c>
      <c r="Y14" s="112">
        <v>157552677.8338657</v>
      </c>
      <c r="Z14" s="92">
        <v>25255384</v>
      </c>
      <c r="AA14" s="91">
        <f>21327392.76-1545906+2605204</f>
        <v>22386690.760000002</v>
      </c>
      <c r="AB14" s="91">
        <v>29889</v>
      </c>
      <c r="AC14" s="91">
        <f>32323508.0765+1545906</f>
        <v>33869414.076499999</v>
      </c>
      <c r="AD14" s="91">
        <v>47082867.955686212</v>
      </c>
      <c r="AE14" s="91">
        <f>20874896.3397967-2605204</f>
        <v>18269692.3397967</v>
      </c>
      <c r="AF14" s="113">
        <v>208996347.82078376</v>
      </c>
      <c r="AG14" s="91">
        <v>24599038.52</v>
      </c>
      <c r="AH14" s="91">
        <v>24278535.643302411</v>
      </c>
      <c r="AI14" s="91">
        <v>47114241.500757739</v>
      </c>
      <c r="AJ14" s="91">
        <v>41231692.800999999</v>
      </c>
      <c r="AK14" s="91">
        <v>42599525.982044294</v>
      </c>
      <c r="AL14" s="91">
        <v>27307394.723679334</v>
      </c>
      <c r="AM14" s="100"/>
      <c r="AN14" s="91"/>
      <c r="AO14" s="91"/>
      <c r="AP14" s="91"/>
      <c r="AQ14" s="91"/>
      <c r="AR14" s="91"/>
      <c r="AS14" s="91"/>
      <c r="AT14" s="100"/>
      <c r="AU14" s="91"/>
      <c r="AV14" s="91"/>
      <c r="AW14" s="91"/>
      <c r="AX14" s="91"/>
      <c r="AY14" s="91"/>
      <c r="AZ14" s="91"/>
    </row>
    <row r="15" spans="1:52" ht="15.5" x14ac:dyDescent="0.35">
      <c r="A15" s="94" t="s">
        <v>18</v>
      </c>
      <c r="B15" s="94" t="s">
        <v>17</v>
      </c>
      <c r="C15" s="94">
        <v>2037266.6572872</v>
      </c>
      <c r="D15" s="94">
        <v>0</v>
      </c>
      <c r="E15" s="94">
        <v>145476.51800000001</v>
      </c>
      <c r="F15" s="94">
        <v>0</v>
      </c>
      <c r="G15" s="94">
        <v>102342</v>
      </c>
      <c r="H15" s="94">
        <v>0</v>
      </c>
      <c r="I15" s="94">
        <v>1299383.1692872001</v>
      </c>
      <c r="J15" s="94">
        <v>490064.97</v>
      </c>
      <c r="K15" s="114">
        <v>3351033.9800000004</v>
      </c>
      <c r="L15" s="91">
        <v>0</v>
      </c>
      <c r="M15" s="91">
        <v>786</v>
      </c>
      <c r="N15" s="91">
        <v>0</v>
      </c>
      <c r="O15" s="91">
        <v>80155</v>
      </c>
      <c r="P15" s="91">
        <v>0</v>
      </c>
      <c r="Q15" s="91">
        <v>3270092.9800000004</v>
      </c>
      <c r="R15" s="113">
        <v>2243908.73</v>
      </c>
      <c r="S15" s="91">
        <v>0</v>
      </c>
      <c r="T15" s="91">
        <v>5760</v>
      </c>
      <c r="U15" s="91">
        <v>90216</v>
      </c>
      <c r="V15" s="91">
        <v>89448.220000000016</v>
      </c>
      <c r="W15" s="91">
        <v>0</v>
      </c>
      <c r="X15" s="91">
        <v>1194519</v>
      </c>
      <c r="Y15" s="112">
        <v>946810</v>
      </c>
      <c r="Z15" s="92">
        <v>0</v>
      </c>
      <c r="AA15" s="91">
        <v>30</v>
      </c>
      <c r="AB15" s="91">
        <v>1453.7966800833995</v>
      </c>
      <c r="AC15" s="91">
        <v>0</v>
      </c>
      <c r="AD15" s="91">
        <v>0</v>
      </c>
      <c r="AE15" s="91">
        <v>834950</v>
      </c>
      <c r="AF15" s="113">
        <v>737846.71799999999</v>
      </c>
      <c r="AG15" s="91">
        <v>0</v>
      </c>
      <c r="AH15" s="91">
        <v>0</v>
      </c>
      <c r="AI15" s="91">
        <v>458445.71799999999</v>
      </c>
      <c r="AJ15" s="91">
        <v>0</v>
      </c>
      <c r="AK15" s="91">
        <v>0</v>
      </c>
      <c r="AL15" s="91">
        <v>267089</v>
      </c>
      <c r="AM15" s="100"/>
      <c r="AN15" s="91"/>
      <c r="AO15" s="91"/>
      <c r="AP15" s="91"/>
      <c r="AQ15" s="91"/>
      <c r="AR15" s="91"/>
      <c r="AS15" s="91"/>
      <c r="AT15" s="92"/>
      <c r="AU15" s="91"/>
      <c r="AV15" s="91"/>
      <c r="AW15" s="91"/>
      <c r="AX15" s="91"/>
      <c r="AY15" s="91"/>
      <c r="AZ15" s="91"/>
    </row>
    <row r="16" spans="1:52" ht="15.5" x14ac:dyDescent="0.35">
      <c r="A16" s="94" t="s">
        <v>20</v>
      </c>
      <c r="B16" s="94" t="s">
        <v>171</v>
      </c>
      <c r="C16" s="94">
        <v>66390.498999999996</v>
      </c>
      <c r="D16" s="94">
        <v>9508.5</v>
      </c>
      <c r="E16" s="94">
        <v>7830</v>
      </c>
      <c r="F16" s="94">
        <v>24782.399000000001</v>
      </c>
      <c r="G16" s="94">
        <v>7303</v>
      </c>
      <c r="H16" s="94">
        <v>8932.6</v>
      </c>
      <c r="I16" s="94">
        <v>1355</v>
      </c>
      <c r="J16" s="94">
        <v>6679</v>
      </c>
      <c r="K16" s="114">
        <v>47685.2</v>
      </c>
      <c r="L16" s="91">
        <v>9069</v>
      </c>
      <c r="M16" s="91">
        <v>6512.5</v>
      </c>
      <c r="N16" s="91">
        <v>8100</v>
      </c>
      <c r="O16" s="91">
        <v>6723.2</v>
      </c>
      <c r="P16" s="91">
        <v>11572</v>
      </c>
      <c r="Q16" s="91">
        <v>5703.5</v>
      </c>
      <c r="R16" s="113">
        <v>37334.270000000004</v>
      </c>
      <c r="S16" s="91">
        <v>11051</v>
      </c>
      <c r="T16" s="91">
        <v>6991.75</v>
      </c>
      <c r="U16" s="91">
        <v>3211</v>
      </c>
      <c r="V16" s="91">
        <v>7466</v>
      </c>
      <c r="W16" s="91">
        <v>6014.52</v>
      </c>
      <c r="X16" s="91">
        <v>2565</v>
      </c>
      <c r="Y16" s="112"/>
      <c r="Z16" s="91"/>
      <c r="AA16" s="91"/>
      <c r="AB16" s="91"/>
      <c r="AC16" s="91"/>
      <c r="AD16" s="91"/>
      <c r="AE16" s="91"/>
      <c r="AF16" s="112"/>
      <c r="AG16" s="91"/>
      <c r="AH16" s="91"/>
      <c r="AI16" s="91"/>
      <c r="AJ16" s="91"/>
      <c r="AK16" s="91"/>
      <c r="AL16" s="91"/>
      <c r="AM16" s="91"/>
      <c r="AN16" s="91"/>
      <c r="AO16" s="91"/>
      <c r="AP16" s="91"/>
      <c r="AQ16" s="91"/>
      <c r="AR16" s="91"/>
      <c r="AS16" s="91"/>
      <c r="AT16" s="91"/>
      <c r="AU16" s="91"/>
      <c r="AV16" s="91"/>
      <c r="AW16" s="91"/>
      <c r="AX16" s="91"/>
      <c r="AY16" s="91"/>
      <c r="AZ16" s="91"/>
    </row>
    <row r="17" spans="1:52" s="103" customFormat="1" ht="15.5" x14ac:dyDescent="0.35">
      <c r="A17" s="93" t="s">
        <v>173</v>
      </c>
      <c r="B17" s="93" t="s">
        <v>19</v>
      </c>
      <c r="C17" s="93">
        <v>118822.29562056315</v>
      </c>
      <c r="D17" s="93">
        <v>16198.975904000001</v>
      </c>
      <c r="E17" s="93">
        <v>20065.443308189671</v>
      </c>
      <c r="F17" s="93">
        <v>2706.0860480000001</v>
      </c>
      <c r="G17" s="93">
        <v>25248.725183999999</v>
      </c>
      <c r="H17" s="93">
        <v>39230.408003967998</v>
      </c>
      <c r="I17" s="93">
        <v>3957</v>
      </c>
      <c r="J17" s="93">
        <v>11255.681108405486</v>
      </c>
      <c r="K17" s="188">
        <v>123318.21890824909</v>
      </c>
      <c r="L17" s="95">
        <v>17798.265634112002</v>
      </c>
      <c r="M17" s="95">
        <v>24859.922659136002</v>
      </c>
      <c r="N17" s="95">
        <v>2999.2653759999998</v>
      </c>
      <c r="O17" s="95">
        <v>28979.99249449958</v>
      </c>
      <c r="P17" s="95">
        <v>40857.272975680004</v>
      </c>
      <c r="Q17" s="95">
        <v>7659.8897688215184</v>
      </c>
      <c r="R17" s="187">
        <v>132674.63310547496</v>
      </c>
      <c r="S17" s="95">
        <v>23065.501851199999</v>
      </c>
      <c r="T17" s="95">
        <v>20190.761023174407</v>
      </c>
      <c r="U17" s="95">
        <v>4966.5212393583715</v>
      </c>
      <c r="V17" s="95">
        <v>27141.141550187866</v>
      </c>
      <c r="W17" s="95">
        <v>44385.550940935202</v>
      </c>
      <c r="X17" s="95">
        <v>15212.80473581912</v>
      </c>
      <c r="Y17" s="185">
        <v>148661.14092541146</v>
      </c>
      <c r="Z17" s="96">
        <v>21937.446019800002</v>
      </c>
      <c r="AA17" s="95">
        <f>20487.093485256-1485+2503</f>
        <v>21505.093485255999</v>
      </c>
      <c r="AB17" s="95">
        <v>24.36</v>
      </c>
      <c r="AC17" s="95">
        <f>31049.9618582859+1485</f>
        <v>32534.9618582859</v>
      </c>
      <c r="AD17" s="95">
        <v>45227.802958232176</v>
      </c>
      <c r="AE17" s="95">
        <f>19691.3398728088-2503</f>
        <v>17188.3398728088</v>
      </c>
      <c r="AF17" s="187">
        <v>157704.40399999998</v>
      </c>
      <c r="AG17" s="95">
        <v>17307</v>
      </c>
      <c r="AH17" s="95">
        <v>17331.020000000004</v>
      </c>
      <c r="AI17" s="95">
        <v>35072.523000000001</v>
      </c>
      <c r="AJ17" s="95">
        <v>31205.4</v>
      </c>
      <c r="AK17" s="95">
        <v>33562.226999999992</v>
      </c>
      <c r="AL17" s="95">
        <v>22417.063000000002</v>
      </c>
      <c r="AM17" s="96"/>
      <c r="AN17" s="95"/>
      <c r="AO17" s="95"/>
      <c r="AP17" s="95"/>
      <c r="AQ17" s="95"/>
      <c r="AR17" s="95"/>
      <c r="AS17" s="95"/>
      <c r="AT17" s="96"/>
      <c r="AU17" s="95"/>
      <c r="AV17" s="95"/>
      <c r="AW17" s="95"/>
      <c r="AX17" s="95"/>
      <c r="AY17" s="95"/>
      <c r="AZ17" s="95"/>
    </row>
    <row r="18" spans="1:52" s="103" customFormat="1" ht="15.5" x14ac:dyDescent="0.35">
      <c r="A18" s="93" t="s">
        <v>174</v>
      </c>
      <c r="B18" s="93" t="s">
        <v>19</v>
      </c>
      <c r="C18" s="93">
        <v>1890.5834579625216</v>
      </c>
      <c r="D18" s="93">
        <v>0</v>
      </c>
      <c r="E18" s="93">
        <v>135</v>
      </c>
      <c r="F18" s="93">
        <v>0</v>
      </c>
      <c r="G18" s="93">
        <v>95</v>
      </c>
      <c r="H18" s="93">
        <v>0</v>
      </c>
      <c r="I18" s="93">
        <v>1206</v>
      </c>
      <c r="J18" s="93">
        <v>455</v>
      </c>
      <c r="K18" s="188">
        <v>3118.1561574400007</v>
      </c>
      <c r="L18" s="95">
        <v>8.4160319999999995</v>
      </c>
      <c r="M18" s="95">
        <v>0.71</v>
      </c>
      <c r="N18" s="95">
        <v>0</v>
      </c>
      <c r="O18" s="95">
        <v>74.383840000000006</v>
      </c>
      <c r="P18" s="95">
        <v>0</v>
      </c>
      <c r="Q18" s="95">
        <v>3034.6462854400006</v>
      </c>
      <c r="R18" s="187">
        <v>2082.3473014400001</v>
      </c>
      <c r="S18" s="95">
        <v>0</v>
      </c>
      <c r="T18" s="95">
        <v>4.6900000000000004</v>
      </c>
      <c r="U18" s="95">
        <v>73.53</v>
      </c>
      <c r="V18" s="95">
        <v>72.900000000000006</v>
      </c>
      <c r="W18" s="95">
        <v>0</v>
      </c>
      <c r="X18" s="95">
        <v>1193.1400000000001</v>
      </c>
      <c r="Y18" s="185">
        <v>909.50568600000008</v>
      </c>
      <c r="Z18" s="96">
        <v>0</v>
      </c>
      <c r="AA18" s="95">
        <v>0</v>
      </c>
      <c r="AB18" s="95"/>
      <c r="AC18" s="95">
        <v>0</v>
      </c>
      <c r="AD18" s="95">
        <v>0</v>
      </c>
      <c r="AE18" s="95">
        <v>1485.04297</v>
      </c>
      <c r="AF18" s="187">
        <v>596.40899999999999</v>
      </c>
      <c r="AG18" s="95">
        <v>0</v>
      </c>
      <c r="AH18" s="95">
        <v>0</v>
      </c>
      <c r="AI18" s="95">
        <v>373.63499999999999</v>
      </c>
      <c r="AJ18" s="95">
        <v>0</v>
      </c>
      <c r="AK18" s="95">
        <v>0</v>
      </c>
      <c r="AL18" s="95">
        <v>218.44400000000002</v>
      </c>
      <c r="AM18" s="96"/>
      <c r="AN18" s="95"/>
      <c r="AO18" s="95"/>
      <c r="AP18" s="95"/>
      <c r="AQ18" s="95"/>
      <c r="AR18" s="95"/>
      <c r="AS18" s="95"/>
      <c r="AT18" s="96"/>
      <c r="AU18" s="95"/>
      <c r="AV18" s="95"/>
      <c r="AW18" s="95"/>
      <c r="AX18" s="95"/>
      <c r="AY18" s="95"/>
      <c r="AZ18" s="95"/>
    </row>
    <row r="19" spans="1:52" ht="15.5" x14ac:dyDescent="0.35">
      <c r="A19" s="94" t="s">
        <v>175</v>
      </c>
      <c r="B19" s="94" t="s">
        <v>268</v>
      </c>
      <c r="C19" s="94">
        <v>3504</v>
      </c>
      <c r="D19" s="94">
        <v>0</v>
      </c>
      <c r="E19" s="94">
        <v>0</v>
      </c>
      <c r="F19" s="94">
        <v>0</v>
      </c>
      <c r="G19" s="94">
        <v>2849</v>
      </c>
      <c r="H19" s="94">
        <v>0</v>
      </c>
      <c r="I19" s="94">
        <v>0</v>
      </c>
      <c r="J19" s="94">
        <v>655</v>
      </c>
      <c r="K19" s="114"/>
      <c r="L19" s="91"/>
      <c r="M19" s="91"/>
      <c r="N19" s="91"/>
      <c r="O19" s="91"/>
      <c r="P19" s="91"/>
      <c r="Q19" s="91"/>
      <c r="R19" s="112"/>
      <c r="S19" s="91"/>
      <c r="T19" s="91"/>
      <c r="U19" s="91"/>
      <c r="V19" s="91"/>
      <c r="W19" s="91"/>
      <c r="X19" s="91"/>
      <c r="Y19" s="112"/>
      <c r="Z19" s="91"/>
      <c r="AA19" s="91"/>
      <c r="AB19" s="91"/>
      <c r="AC19" s="91"/>
      <c r="AD19" s="91"/>
      <c r="AE19" s="91"/>
      <c r="AF19" s="112"/>
      <c r="AG19" s="91"/>
      <c r="AH19" s="91"/>
      <c r="AI19" s="91"/>
      <c r="AJ19" s="91"/>
      <c r="AK19" s="91"/>
      <c r="AL19" s="91"/>
      <c r="AM19" s="91"/>
      <c r="AN19" s="91"/>
      <c r="AO19" s="91"/>
      <c r="AP19" s="91"/>
      <c r="AQ19" s="91"/>
      <c r="AR19" s="91"/>
      <c r="AS19" s="91"/>
      <c r="AT19" s="91"/>
      <c r="AU19" s="91"/>
      <c r="AV19" s="91"/>
      <c r="AW19" s="91"/>
      <c r="AX19" s="91"/>
      <c r="AY19" s="91"/>
      <c r="AZ19" s="91"/>
    </row>
    <row r="22" spans="1:52" x14ac:dyDescent="0.35">
      <c r="A22" t="s">
        <v>269</v>
      </c>
      <c r="C22" s="36">
        <v>96231861</v>
      </c>
      <c r="D22" s="36">
        <v>23708713</v>
      </c>
      <c r="E22" s="36">
        <v>15037761</v>
      </c>
      <c r="F22" s="36">
        <v>2435017</v>
      </c>
      <c r="G22" s="36">
        <v>10376709</v>
      </c>
      <c r="H22" s="36">
        <v>7446212</v>
      </c>
      <c r="I22" s="36">
        <v>27449466</v>
      </c>
      <c r="J22" s="36">
        <v>8225664</v>
      </c>
      <c r="K22" s="186">
        <v>84955507</v>
      </c>
      <c r="L22" s="36">
        <v>21095402</v>
      </c>
      <c r="M22" s="36">
        <v>14024659</v>
      </c>
      <c r="N22" s="36">
        <v>2646657</v>
      </c>
      <c r="O22" s="36">
        <v>10472802</v>
      </c>
      <c r="P22" s="36">
        <v>6204869</v>
      </c>
      <c r="Q22" s="36">
        <v>28892866</v>
      </c>
      <c r="R22" s="186">
        <v>73866886</v>
      </c>
      <c r="S22" s="36">
        <v>18263276</v>
      </c>
      <c r="T22" s="36">
        <v>11943006</v>
      </c>
      <c r="U22" s="36">
        <v>2650190</v>
      </c>
      <c r="V22" s="36">
        <v>10472428</v>
      </c>
      <c r="W22" s="36">
        <v>6308343</v>
      </c>
      <c r="X22" s="36">
        <v>22090784</v>
      </c>
      <c r="Y22" s="186">
        <v>80050673</v>
      </c>
      <c r="Z22" s="36">
        <v>22847747</v>
      </c>
      <c r="AA22" s="36">
        <v>12851008</v>
      </c>
      <c r="AB22" s="36">
        <v>2700993</v>
      </c>
      <c r="AC22" s="36">
        <v>11857820</v>
      </c>
      <c r="AD22" s="36">
        <v>6698225</v>
      </c>
      <c r="AE22" s="36">
        <v>20648296</v>
      </c>
    </row>
    <row r="23" spans="1:52" ht="15.5" x14ac:dyDescent="0.35">
      <c r="A23" s="110" t="s">
        <v>224</v>
      </c>
      <c r="C23" s="110">
        <f>(C12*1000)/C22</f>
        <v>1.8350686248678545</v>
      </c>
      <c r="D23" s="110">
        <f>(D12*1000)/D22</f>
        <v>0.21869488306935936</v>
      </c>
      <c r="E23" s="110">
        <f t="shared" ref="E23:J23" si="0">(E12*1000)/E22</f>
        <v>1.0006993160983209</v>
      </c>
      <c r="F23" s="110">
        <f t="shared" si="0"/>
        <v>0.19089055499612528</v>
      </c>
      <c r="G23" s="110">
        <f t="shared" si="0"/>
        <v>0.89887366072422359</v>
      </c>
      <c r="H23" s="110">
        <f t="shared" si="0"/>
        <v>3.8817724176151045</v>
      </c>
      <c r="I23" s="110">
        <f t="shared" si="0"/>
        <v>1.3767480941159294</v>
      </c>
      <c r="J23" s="110">
        <f t="shared" si="0"/>
        <v>9.7087891151115482</v>
      </c>
      <c r="K23" s="115">
        <v>2.1131034977185035</v>
      </c>
      <c r="L23" s="110">
        <v>0.24971024362128189</v>
      </c>
      <c r="M23" s="110">
        <v>1.0453480570901381</v>
      </c>
      <c r="N23" s="110">
        <v>0.23684987665572077</v>
      </c>
      <c r="O23" s="110">
        <v>0.83364887644355345</v>
      </c>
      <c r="P23" s="110">
        <v>4.4204016496738285</v>
      </c>
      <c r="Q23" s="110">
        <v>4.250117237047804</v>
      </c>
      <c r="R23" s="115">
        <v>1.8089078572279773</v>
      </c>
      <c r="S23" s="110">
        <v>0.35269266204594951</v>
      </c>
      <c r="T23" s="110">
        <v>1.3183208484103079</v>
      </c>
      <c r="U23" s="110">
        <v>0.38221877595108522</v>
      </c>
      <c r="V23" s="110">
        <v>0.9019126756692144</v>
      </c>
      <c r="W23" s="110">
        <v>5.5931455582311633</v>
      </c>
      <c r="X23" s="110">
        <v>4.2403768072967072</v>
      </c>
      <c r="Y23" s="115">
        <v>2.469529191562355</v>
      </c>
      <c r="Z23" s="110">
        <v>0.32536871285689567</v>
      </c>
      <c r="AA23" s="110">
        <v>1.4961319746663839</v>
      </c>
      <c r="AB23" s="110">
        <v>0.53824526020000774</v>
      </c>
      <c r="AC23" s="110">
        <v>0.98230215258024667</v>
      </c>
      <c r="AD23" s="110">
        <v>5.7212171881356628</v>
      </c>
      <c r="AE23" s="110">
        <v>4.9449601071197353</v>
      </c>
    </row>
    <row r="24" spans="1:52" ht="15.5" x14ac:dyDescent="0.35">
      <c r="A24" s="110" t="s">
        <v>225</v>
      </c>
      <c r="C24" s="110">
        <f>(C17*1000)/C22</f>
        <v>1.2347500545641859</v>
      </c>
      <c r="D24" s="110">
        <f>(D17*1000)/D22</f>
        <v>0.68324990496110016</v>
      </c>
      <c r="E24" s="110">
        <f t="shared" ref="E24:J24" si="1">(E17*1000)/E22</f>
        <v>1.3343371601789435</v>
      </c>
      <c r="F24" s="110">
        <f t="shared" si="1"/>
        <v>1.1113212137738668</v>
      </c>
      <c r="G24" s="110">
        <f t="shared" si="1"/>
        <v>2.4332112603331173</v>
      </c>
      <c r="H24" s="110">
        <f t="shared" si="1"/>
        <v>5.268505382866886</v>
      </c>
      <c r="I24" s="110">
        <f t="shared" si="1"/>
        <v>0.14415580980701045</v>
      </c>
      <c r="J24" s="110">
        <f t="shared" si="1"/>
        <v>1.3683614001745616</v>
      </c>
      <c r="K24" s="115">
        <v>1.4515623914556721</v>
      </c>
      <c r="L24" s="110">
        <v>0.84370355369914263</v>
      </c>
      <c r="M24" s="110">
        <v>1.7725866032918163</v>
      </c>
      <c r="N24" s="110">
        <v>1.1332278326961143</v>
      </c>
      <c r="O24" s="110">
        <v>2.7671670384391471</v>
      </c>
      <c r="P24" s="110">
        <v>6.5847116152943759</v>
      </c>
      <c r="Q24" s="110">
        <v>0.26511353248312292</v>
      </c>
      <c r="R24" s="115">
        <v>1.7961313964890162</v>
      </c>
      <c r="S24" s="110">
        <v>1.2629443836472711</v>
      </c>
      <c r="T24" s="110">
        <v>1.6905928895266744</v>
      </c>
      <c r="U24" s="110">
        <v>1.8740245942209317</v>
      </c>
      <c r="V24" s="110">
        <v>2.5916761184882691</v>
      </c>
      <c r="W24" s="110">
        <v>7.0360078614836263</v>
      </c>
      <c r="X24" s="110">
        <v>0.68864938138090159</v>
      </c>
      <c r="Y24" s="115">
        <v>1.8570879588409139</v>
      </c>
      <c r="Z24" s="110">
        <v>0.96015795429632511</v>
      </c>
      <c r="AA24" s="110">
        <v>1.6733827154847309</v>
      </c>
      <c r="AB24" s="110">
        <v>1.8199807722080656</v>
      </c>
      <c r="AC24" s="110">
        <v>2.8051496111330665</v>
      </c>
      <c r="AD24" s="110">
        <v>6.6275767087549315</v>
      </c>
      <c r="AE24" s="110">
        <v>0.83245520069592005</v>
      </c>
    </row>
    <row r="25" spans="1:52" ht="15.5" x14ac:dyDescent="0.35">
      <c r="A25" s="91" t="s">
        <v>231</v>
      </c>
      <c r="C25" s="110">
        <f>((C12+C17)*1000)/C22</f>
        <v>3.069818679432041</v>
      </c>
      <c r="D25" s="110">
        <f>((D12+D17)*1000)/D22</f>
        <v>0.90194478803045963</v>
      </c>
      <c r="E25" s="110">
        <f t="shared" ref="E25:J25" si="2">((E12+E17)*1000)/E22</f>
        <v>2.335036476277264</v>
      </c>
      <c r="F25" s="110">
        <f t="shared" si="2"/>
        <v>1.3022117687699921</v>
      </c>
      <c r="G25" s="110">
        <f t="shared" si="2"/>
        <v>3.3320849210573411</v>
      </c>
      <c r="H25" s="110">
        <f t="shared" si="2"/>
        <v>9.1502778004819909</v>
      </c>
      <c r="I25" s="110">
        <f t="shared" si="2"/>
        <v>1.5209039039229397</v>
      </c>
      <c r="J25" s="110">
        <f t="shared" si="2"/>
        <v>11.07715051528611</v>
      </c>
      <c r="K25" s="115">
        <v>3.5646658891741754</v>
      </c>
      <c r="L25" s="110">
        <v>1.0934137973204245</v>
      </c>
      <c r="M25" s="110">
        <v>2.8179346603819542</v>
      </c>
      <c r="N25" s="110">
        <v>1.370077709351835</v>
      </c>
      <c r="O25" s="110">
        <v>3.600815914882701</v>
      </c>
      <c r="P25" s="110">
        <v>11.005113264968205</v>
      </c>
      <c r="Q25" s="110">
        <v>4.5152307695309268</v>
      </c>
      <c r="R25" s="115">
        <v>3.6050392537169933</v>
      </c>
      <c r="S25" s="110">
        <v>1.6156370456932208</v>
      </c>
      <c r="T25" s="110">
        <v>3.0089137379369819</v>
      </c>
      <c r="U25" s="110">
        <v>2.256243370172017</v>
      </c>
      <c r="V25" s="110">
        <v>3.4935887941574832</v>
      </c>
      <c r="W25" s="110">
        <v>12.629153419714788</v>
      </c>
      <c r="X25" s="110">
        <v>4.9290261886776081</v>
      </c>
      <c r="Y25" s="115">
        <v>4.3266171504032691</v>
      </c>
      <c r="Z25" s="110">
        <v>1.2855266671532208</v>
      </c>
      <c r="AA25" s="110">
        <v>3.1695146901511149</v>
      </c>
      <c r="AB25" s="110">
        <v>2.3582260324080728</v>
      </c>
      <c r="AC25" s="110">
        <v>3.7874517637133134</v>
      </c>
      <c r="AD25" s="110">
        <v>12.348793896890594</v>
      </c>
      <c r="AE25" s="110">
        <v>5.7774153078156552</v>
      </c>
    </row>
    <row r="30" spans="1:52" x14ac:dyDescent="0.35">
      <c r="A30" s="191" t="s">
        <v>281</v>
      </c>
    </row>
  </sheetData>
  <phoneticPr fontId="3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B235-E065-44B6-BFFE-44F209BEAC2B}">
  <dimension ref="A1:AU32"/>
  <sheetViews>
    <sheetView workbookViewId="0">
      <selection activeCell="C1" sqref="C1:C1048576"/>
    </sheetView>
  </sheetViews>
  <sheetFormatPr defaultRowHeight="14.5" outlineLevelCol="1" x14ac:dyDescent="0.35"/>
  <cols>
    <col min="1" max="1" width="60" customWidth="1"/>
    <col min="2" max="3" width="17.81640625" customWidth="1"/>
    <col min="4" max="10" width="11.54296875" hidden="1" customWidth="1" outlineLevel="1"/>
    <col min="11" max="11" width="14.54296875" style="179" customWidth="1" collapsed="1"/>
    <col min="12" max="15" width="12.36328125" style="36" hidden="1" customWidth="1" outlineLevel="1"/>
    <col min="16" max="16" width="11" style="36" hidden="1" customWidth="1" outlineLevel="1"/>
    <col min="17" max="17" width="12.36328125" style="36" hidden="1" customWidth="1" outlineLevel="1"/>
    <col min="18" max="18" width="16.1796875" style="179" customWidth="1" collapsed="1"/>
    <col min="19" max="19" width="13.54296875" style="36" hidden="1" customWidth="1" outlineLevel="1"/>
    <col min="20" max="20" width="12.54296875" hidden="1" customWidth="1" outlineLevel="1"/>
    <col min="21" max="21" width="11.81640625" hidden="1" customWidth="1" outlineLevel="1"/>
    <col min="22" max="22" width="10.6328125" hidden="1" customWidth="1" outlineLevel="1"/>
    <col min="23" max="24" width="9.26953125" hidden="1" customWidth="1" outlineLevel="1"/>
    <col min="25" max="25" width="14.1796875" style="116" customWidth="1" collapsed="1"/>
    <col min="26" max="26" width="13.26953125" hidden="1" customWidth="1" outlineLevel="1"/>
    <col min="27" max="27" width="11.453125" hidden="1" customWidth="1" outlineLevel="1"/>
    <col min="28" max="28" width="10.90625" hidden="1" customWidth="1" outlineLevel="1"/>
    <col min="29" max="29" width="13" hidden="1" customWidth="1" outlineLevel="1"/>
    <col min="30" max="30" width="11.26953125" hidden="1" customWidth="1" outlineLevel="1"/>
    <col min="31" max="31" width="12.26953125" hidden="1" customWidth="1" outlineLevel="1"/>
    <col min="32" max="32" width="14.6328125" style="116" customWidth="1" collapsed="1"/>
    <col min="33" max="33" width="11.54296875" hidden="1" customWidth="1" outlineLevel="1"/>
    <col min="34" max="34" width="13.6328125" hidden="1" customWidth="1" outlineLevel="1"/>
    <col min="35" max="35" width="12.08984375" hidden="1" customWidth="1" outlineLevel="1"/>
    <col min="36" max="36" width="12.81640625" hidden="1" customWidth="1" outlineLevel="1"/>
    <col min="37" max="37" width="11.26953125" hidden="1" customWidth="1" outlineLevel="1"/>
    <col min="38" max="38" width="10.90625" hidden="1" customWidth="1" outlineLevel="1"/>
    <col min="39" max="39" width="12.7265625" customWidth="1" collapsed="1"/>
    <col min="40" max="40" width="13.36328125" hidden="1" customWidth="1" outlineLevel="1"/>
    <col min="41" max="41" width="12.90625" hidden="1" customWidth="1" outlineLevel="1"/>
    <col min="42" max="42" width="11.36328125" hidden="1" customWidth="1" outlineLevel="1"/>
    <col min="43" max="43" width="11.7265625" hidden="1" customWidth="1" outlineLevel="1"/>
    <col min="44" max="44" width="10.1796875" hidden="1" customWidth="1" outlineLevel="1"/>
    <col min="45" max="45" width="12" hidden="1" customWidth="1" outlineLevel="1"/>
    <col min="46" max="46" width="8.7265625" collapsed="1"/>
  </cols>
  <sheetData>
    <row r="1" spans="1:47" ht="18" x14ac:dyDescent="0.4">
      <c r="A1" s="76" t="s">
        <v>21</v>
      </c>
    </row>
    <row r="2" spans="1:47" s="106" customFormat="1" ht="62" x14ac:dyDescent="0.35">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06" t="s">
        <v>188</v>
      </c>
      <c r="AN2" s="106" t="s">
        <v>212</v>
      </c>
      <c r="AO2" s="106" t="s">
        <v>213</v>
      </c>
      <c r="AP2" s="106" t="s">
        <v>214</v>
      </c>
      <c r="AQ2" s="106" t="s">
        <v>215</v>
      </c>
      <c r="AR2" s="106" t="s">
        <v>186</v>
      </c>
      <c r="AS2" s="106" t="s">
        <v>216</v>
      </c>
    </row>
    <row r="3" spans="1:47" s="91" customFormat="1" ht="15.5" x14ac:dyDescent="0.35">
      <c r="A3" s="94"/>
      <c r="B3" s="94"/>
      <c r="C3" s="94"/>
      <c r="D3" s="94"/>
      <c r="E3" s="94"/>
      <c r="F3" s="94"/>
      <c r="G3" s="94"/>
      <c r="H3" s="94"/>
      <c r="I3" s="94"/>
      <c r="J3" s="94"/>
      <c r="K3" s="114"/>
      <c r="R3" s="113"/>
      <c r="Y3" s="112"/>
      <c r="Z3" s="92"/>
      <c r="AF3" s="112"/>
      <c r="AU3" s="92"/>
    </row>
    <row r="4" spans="1:47" s="91" customFormat="1" ht="15.5" x14ac:dyDescent="0.35">
      <c r="A4" s="94" t="s">
        <v>176</v>
      </c>
      <c r="B4" s="94" t="s">
        <v>22</v>
      </c>
      <c r="C4" s="94">
        <v>1633129.80964606</v>
      </c>
      <c r="D4" s="94">
        <v>288602</v>
      </c>
      <c r="E4" s="94">
        <v>224724.27704264986</v>
      </c>
      <c r="F4" s="94">
        <v>10135.223</v>
      </c>
      <c r="G4" s="94">
        <v>127816</v>
      </c>
      <c r="H4" s="94">
        <v>327867.9965934066</v>
      </c>
      <c r="I4" s="94">
        <v>132948.12674333798</v>
      </c>
      <c r="J4" s="94">
        <v>521035.18626666663</v>
      </c>
      <c r="K4" s="114" t="e">
        <f>#REF!</f>
        <v>#REF!</v>
      </c>
      <c r="L4" s="91">
        <v>289611</v>
      </c>
      <c r="M4" s="91" t="e">
        <f>#REF!</f>
        <v>#REF!</v>
      </c>
      <c r="N4" s="91">
        <v>7881</v>
      </c>
      <c r="O4" s="91">
        <v>196305.9768054921</v>
      </c>
      <c r="P4" s="91">
        <v>313972</v>
      </c>
      <c r="Q4" s="91">
        <v>631717.49200000009</v>
      </c>
      <c r="R4" s="113">
        <v>1663579.5951916501</v>
      </c>
      <c r="S4" s="91">
        <v>349797.39</v>
      </c>
      <c r="T4" s="91">
        <v>185989.52390377215</v>
      </c>
      <c r="U4" s="91">
        <v>35740.659999999996</v>
      </c>
      <c r="V4" s="91">
        <f>240206.834699-75528</f>
        <v>164678.834699</v>
      </c>
      <c r="W4" s="91">
        <v>357472.18858887552</v>
      </c>
      <c r="X4" s="91">
        <v>512964.94800000003</v>
      </c>
      <c r="Y4" s="112">
        <f>2062646.04961688-68488</f>
        <v>1994158.04961688</v>
      </c>
      <c r="Z4" s="91">
        <v>336247</v>
      </c>
      <c r="AA4" s="91">
        <v>195018.12</v>
      </c>
      <c r="AB4" s="91">
        <v>69516.100782758629</v>
      </c>
      <c r="AC4" s="91">
        <v>238526.01</v>
      </c>
      <c r="AD4" s="91">
        <v>361442</v>
      </c>
      <c r="AE4" s="91">
        <v>775757</v>
      </c>
      <c r="AF4" s="113">
        <v>2048674.1997605478</v>
      </c>
      <c r="AG4" s="91">
        <v>336535.59</v>
      </c>
      <c r="AH4" s="91">
        <v>237730.4365853949</v>
      </c>
      <c r="AI4" s="91">
        <v>66383.554499999998</v>
      </c>
      <c r="AJ4" s="91">
        <v>264033.19700000004</v>
      </c>
      <c r="AK4" s="91">
        <v>346902.48809999996</v>
      </c>
      <c r="AL4" s="91">
        <v>769828.93357515277</v>
      </c>
      <c r="AM4" s="91">
        <v>2423290.6799999997</v>
      </c>
      <c r="AN4" s="91">
        <v>15997.56</v>
      </c>
      <c r="AO4" s="91">
        <v>18350.629999999997</v>
      </c>
      <c r="AP4" s="91">
        <v>654737</v>
      </c>
      <c r="AQ4" s="91">
        <v>7323.65</v>
      </c>
      <c r="AR4" s="91">
        <v>44762.25</v>
      </c>
      <c r="AS4" s="91">
        <v>82164.259999999995</v>
      </c>
      <c r="AU4" s="100"/>
    </row>
    <row r="5" spans="1:47" s="91" customFormat="1" ht="15.5" x14ac:dyDescent="0.35">
      <c r="A5" s="94" t="s">
        <v>177</v>
      </c>
      <c r="B5" s="94" t="s">
        <v>22</v>
      </c>
      <c r="C5" s="94">
        <v>138629.95000000001</v>
      </c>
      <c r="D5" s="94">
        <v>0</v>
      </c>
      <c r="E5" s="94">
        <v>8039</v>
      </c>
      <c r="F5" s="94">
        <v>0</v>
      </c>
      <c r="G5" s="94">
        <v>6577</v>
      </c>
      <c r="H5" s="94">
        <v>35.35</v>
      </c>
      <c r="I5" s="94">
        <v>6519.7</v>
      </c>
      <c r="J5" s="94">
        <v>117458.9</v>
      </c>
      <c r="K5" s="114">
        <v>160834</v>
      </c>
      <c r="L5" s="91">
        <v>0</v>
      </c>
      <c r="M5" s="91">
        <v>385</v>
      </c>
      <c r="N5" s="91">
        <v>0</v>
      </c>
      <c r="O5" s="91">
        <v>408</v>
      </c>
      <c r="P5" s="91">
        <v>0</v>
      </c>
      <c r="Q5" s="91">
        <v>160041</v>
      </c>
      <c r="R5" s="113">
        <v>114463</v>
      </c>
      <c r="S5" s="91">
        <v>0</v>
      </c>
      <c r="T5" s="91">
        <v>6743</v>
      </c>
      <c r="U5" s="91">
        <v>0</v>
      </c>
      <c r="V5" s="91">
        <v>3483</v>
      </c>
      <c r="W5" s="91">
        <v>0</v>
      </c>
      <c r="X5" s="91">
        <v>104237</v>
      </c>
      <c r="Y5" s="112"/>
      <c r="Z5" s="92"/>
      <c r="AF5" s="112"/>
      <c r="AN5" s="92"/>
      <c r="AU5" s="92"/>
    </row>
    <row r="7" spans="1:47" x14ac:dyDescent="0.35">
      <c r="A7" t="s">
        <v>269</v>
      </c>
      <c r="C7" s="36">
        <v>96231861</v>
      </c>
      <c r="D7" s="36">
        <v>23708713</v>
      </c>
      <c r="E7" s="36">
        <v>15037761</v>
      </c>
      <c r="F7" s="36">
        <v>2435017</v>
      </c>
      <c r="G7" s="36">
        <v>10376709</v>
      </c>
      <c r="H7" s="36">
        <v>7446212</v>
      </c>
      <c r="I7" s="36">
        <v>27449466</v>
      </c>
      <c r="J7" s="36">
        <v>8225664</v>
      </c>
      <c r="K7" s="179">
        <v>84955507</v>
      </c>
      <c r="L7" s="36">
        <v>21095402</v>
      </c>
      <c r="M7" s="36">
        <v>14024659</v>
      </c>
      <c r="N7" s="36">
        <v>2646657</v>
      </c>
      <c r="O7" s="36">
        <v>10472802</v>
      </c>
      <c r="P7" s="36">
        <v>6204869</v>
      </c>
      <c r="Q7" s="36">
        <v>28892866</v>
      </c>
      <c r="R7" s="179">
        <v>73866886</v>
      </c>
      <c r="S7" s="36">
        <v>18263276</v>
      </c>
      <c r="T7">
        <v>11943006</v>
      </c>
      <c r="U7">
        <v>2650190</v>
      </c>
      <c r="V7">
        <v>10472428</v>
      </c>
      <c r="W7">
        <v>6308343</v>
      </c>
      <c r="X7">
        <v>22090784</v>
      </c>
      <c r="Y7" s="116">
        <v>80050673</v>
      </c>
      <c r="Z7">
        <v>22847747</v>
      </c>
      <c r="AA7">
        <v>12851008</v>
      </c>
      <c r="AB7">
        <v>2700993</v>
      </c>
      <c r="AC7">
        <v>11857820</v>
      </c>
      <c r="AD7">
        <v>6698225</v>
      </c>
      <c r="AE7">
        <v>20648296</v>
      </c>
    </row>
    <row r="8" spans="1:47" ht="15.5" x14ac:dyDescent="0.35">
      <c r="A8" t="s">
        <v>226</v>
      </c>
      <c r="C8" s="111">
        <f>(C4+C5)*1000/C7</f>
        <v>18.411363359647176</v>
      </c>
      <c r="D8" s="111">
        <f t="shared" ref="D8:J8" si="0">(D4+D5)*1000/D7</f>
        <v>12.172824395824438</v>
      </c>
      <c r="E8" s="111">
        <f t="shared" si="0"/>
        <v>15.478586010420692</v>
      </c>
      <c r="F8" s="111">
        <f t="shared" si="0"/>
        <v>4.1622801812061274</v>
      </c>
      <c r="G8" s="111">
        <f t="shared" si="0"/>
        <v>12.951408775171396</v>
      </c>
      <c r="H8" s="111">
        <f t="shared" si="0"/>
        <v>44.036262544419436</v>
      </c>
      <c r="I8" s="111">
        <f t="shared" si="0"/>
        <v>5.0808939869117307</v>
      </c>
      <c r="J8" s="111">
        <f t="shared" si="0"/>
        <v>77.622193936765058</v>
      </c>
      <c r="K8" s="115">
        <v>21.21788290899141</v>
      </c>
      <c r="L8" s="110">
        <v>13.728631480926508</v>
      </c>
      <c r="M8" s="110">
        <v>13.788356636692557</v>
      </c>
      <c r="N8" s="110">
        <v>2.9777186843629528</v>
      </c>
      <c r="O8" s="110">
        <v>16.549341504354995</v>
      </c>
      <c r="P8" s="110">
        <v>50.600907126322895</v>
      </c>
      <c r="Q8" s="110">
        <v>27.403252138434453</v>
      </c>
      <c r="R8" s="115">
        <v>24.070902287550744</v>
      </c>
      <c r="S8" s="110">
        <v>19.153047350322034</v>
      </c>
      <c r="T8" s="110">
        <v>16.137689615476383</v>
      </c>
      <c r="U8" s="110">
        <v>13.486074583331758</v>
      </c>
      <c r="V8" s="110">
        <v>16.057578500324855</v>
      </c>
      <c r="W8" s="110">
        <v>56.66657450123995</v>
      </c>
      <c r="X8" s="110">
        <v>27.939341039231568</v>
      </c>
      <c r="Y8" s="115">
        <v>24.911196556921887</v>
      </c>
      <c r="Z8" s="110">
        <v>14.716855889554449</v>
      </c>
      <c r="AA8" s="110">
        <v>15.175316986807571</v>
      </c>
      <c r="AB8" s="110">
        <v>25.737238409266009</v>
      </c>
      <c r="AC8" s="110">
        <v>20.115502680931233</v>
      </c>
      <c r="AD8" s="110">
        <v>53.960862765882005</v>
      </c>
      <c r="AE8" s="110">
        <v>37.570025148806465</v>
      </c>
    </row>
    <row r="16" spans="1:47" x14ac:dyDescent="0.35">
      <c r="B16" s="1"/>
      <c r="C16" s="1"/>
      <c r="D16" s="1"/>
      <c r="E16" s="1"/>
      <c r="F16" s="1"/>
      <c r="G16" s="1"/>
      <c r="H16" s="1"/>
      <c r="I16" s="1"/>
      <c r="J16" s="1"/>
      <c r="K16" s="180"/>
      <c r="L16" s="1"/>
    </row>
    <row r="17" spans="1:12" ht="18.5" x14ac:dyDescent="0.45">
      <c r="A17" s="86"/>
      <c r="B17" s="77"/>
      <c r="C17" s="77"/>
      <c r="D17" s="77"/>
      <c r="E17" s="77"/>
      <c r="F17" s="77"/>
      <c r="G17" s="77"/>
      <c r="H17" s="77"/>
      <c r="I17" s="77"/>
      <c r="J17" s="77"/>
      <c r="K17" s="181"/>
      <c r="L17" s="78"/>
    </row>
    <row r="18" spans="1:12" ht="15.5" x14ac:dyDescent="0.35">
      <c r="A18" s="90"/>
      <c r="B18" s="77"/>
      <c r="C18" s="77"/>
      <c r="D18" s="77"/>
      <c r="E18" s="77"/>
      <c r="F18" s="77"/>
      <c r="G18" s="77"/>
      <c r="H18" s="77"/>
      <c r="I18" s="77"/>
      <c r="J18" s="77"/>
      <c r="K18" s="181"/>
      <c r="L18" s="78"/>
    </row>
    <row r="19" spans="1:12" x14ac:dyDescent="0.35">
      <c r="A19" s="73"/>
      <c r="B19" s="74"/>
      <c r="C19" s="74"/>
      <c r="D19" s="74"/>
      <c r="E19" s="74"/>
      <c r="F19" s="74"/>
      <c r="G19" s="74"/>
      <c r="H19" s="74"/>
      <c r="I19" s="74"/>
      <c r="J19" s="74"/>
      <c r="K19" s="182"/>
      <c r="L19" s="2"/>
    </row>
    <row r="20" spans="1:12" x14ac:dyDescent="0.35">
      <c r="A20" s="73"/>
      <c r="B20" s="74"/>
      <c r="C20" s="74"/>
      <c r="D20" s="74"/>
      <c r="E20" s="74"/>
      <c r="F20" s="74"/>
      <c r="G20" s="74"/>
      <c r="H20" s="74"/>
      <c r="I20" s="74"/>
      <c r="J20" s="74"/>
      <c r="K20" s="182"/>
      <c r="L20" s="2"/>
    </row>
    <row r="21" spans="1:12" x14ac:dyDescent="0.35">
      <c r="A21" s="73"/>
      <c r="B21" s="74"/>
      <c r="C21" s="74"/>
      <c r="D21" s="74"/>
      <c r="E21" s="74"/>
      <c r="F21" s="74"/>
      <c r="G21" s="74"/>
      <c r="H21" s="74"/>
      <c r="I21" s="74"/>
      <c r="J21" s="74"/>
      <c r="K21" s="182"/>
      <c r="L21" s="2"/>
    </row>
    <row r="22" spans="1:12" x14ac:dyDescent="0.35">
      <c r="A22" s="73"/>
      <c r="B22" s="74"/>
      <c r="C22" s="74"/>
      <c r="D22" s="74"/>
      <c r="E22" s="74"/>
      <c r="F22" s="74"/>
      <c r="G22" s="74"/>
      <c r="H22" s="74"/>
      <c r="I22" s="74"/>
      <c r="J22" s="74"/>
      <c r="K22" s="182"/>
      <c r="L22" s="2"/>
    </row>
    <row r="23" spans="1:12" x14ac:dyDescent="0.35">
      <c r="A23" s="79"/>
      <c r="B23" s="80"/>
      <c r="C23" s="80"/>
      <c r="D23" s="80"/>
      <c r="E23" s="80"/>
      <c r="F23" s="80"/>
      <c r="G23" s="80"/>
      <c r="H23" s="80"/>
      <c r="I23" s="80"/>
      <c r="J23" s="80"/>
      <c r="K23" s="183"/>
      <c r="L23" s="81"/>
    </row>
    <row r="24" spans="1:12" x14ac:dyDescent="0.35">
      <c r="A24" s="73"/>
      <c r="B24" s="74"/>
      <c r="C24" s="74"/>
      <c r="D24" s="74"/>
      <c r="E24" s="74"/>
      <c r="F24" s="74"/>
      <c r="G24" s="74"/>
      <c r="H24" s="74"/>
      <c r="I24" s="74"/>
      <c r="J24" s="74"/>
      <c r="K24" s="182"/>
      <c r="L24" s="2"/>
    </row>
    <row r="25" spans="1:12" x14ac:dyDescent="0.35">
      <c r="A25" s="73"/>
      <c r="B25" s="74"/>
      <c r="C25" s="74"/>
      <c r="D25" s="74"/>
      <c r="E25" s="74"/>
      <c r="F25" s="74"/>
      <c r="G25" s="74"/>
      <c r="H25" s="74"/>
      <c r="I25" s="74"/>
      <c r="J25" s="74"/>
      <c r="K25" s="182"/>
      <c r="L25" s="2"/>
    </row>
    <row r="26" spans="1:12" x14ac:dyDescent="0.35">
      <c r="A26" s="82"/>
      <c r="B26" s="83"/>
      <c r="C26" s="83"/>
      <c r="D26" s="83"/>
      <c r="E26" s="83"/>
      <c r="F26" s="83"/>
      <c r="G26" s="83"/>
      <c r="H26" s="83"/>
      <c r="I26" s="83"/>
      <c r="J26" s="83"/>
      <c r="K26" s="182"/>
      <c r="L26" s="84"/>
    </row>
    <row r="27" spans="1:12" x14ac:dyDescent="0.35">
      <c r="A27" s="82"/>
      <c r="B27" s="83"/>
      <c r="C27" s="83"/>
      <c r="D27" s="83"/>
      <c r="E27" s="83"/>
      <c r="F27" s="83"/>
      <c r="G27" s="83"/>
      <c r="H27" s="83"/>
      <c r="I27" s="83"/>
      <c r="J27" s="83"/>
      <c r="K27" s="182"/>
      <c r="L27" s="84"/>
    </row>
    <row r="28" spans="1:12" ht="15.5" x14ac:dyDescent="0.35">
      <c r="A28" s="90"/>
      <c r="B28" s="83"/>
      <c r="C28" s="83"/>
      <c r="D28" s="83"/>
      <c r="E28" s="83"/>
      <c r="F28" s="83"/>
      <c r="G28" s="83"/>
      <c r="H28" s="83"/>
      <c r="I28" s="83"/>
      <c r="J28" s="83"/>
      <c r="K28" s="182"/>
      <c r="L28" s="84"/>
    </row>
    <row r="29" spans="1:12" x14ac:dyDescent="0.35">
      <c r="A29" s="73"/>
      <c r="B29" s="74"/>
      <c r="C29" s="74"/>
      <c r="D29" s="74"/>
      <c r="E29" s="74"/>
      <c r="F29" s="74"/>
      <c r="G29" s="74"/>
      <c r="H29" s="74"/>
      <c r="I29" s="74"/>
      <c r="J29" s="74"/>
      <c r="K29" s="182"/>
      <c r="L29" s="2"/>
    </row>
    <row r="30" spans="1:12" x14ac:dyDescent="0.35">
      <c r="A30" s="73"/>
      <c r="B30" s="74"/>
      <c r="C30" s="74"/>
      <c r="D30" s="74"/>
      <c r="E30" s="74"/>
      <c r="F30" s="74"/>
      <c r="G30" s="74"/>
      <c r="H30" s="74"/>
      <c r="I30" s="74"/>
      <c r="J30" s="74"/>
      <c r="K30" s="182"/>
      <c r="L30" s="2"/>
    </row>
    <row r="31" spans="1:12" x14ac:dyDescent="0.35">
      <c r="A31" s="82"/>
      <c r="B31" s="83"/>
      <c r="C31" s="83"/>
      <c r="D31" s="83"/>
      <c r="E31" s="83"/>
      <c r="F31" s="83"/>
      <c r="G31" s="83"/>
      <c r="H31" s="83"/>
      <c r="I31" s="83"/>
      <c r="J31" s="83"/>
      <c r="K31" s="182"/>
      <c r="L31" s="84"/>
    </row>
    <row r="32" spans="1:12" x14ac:dyDescent="0.35">
      <c r="A32" s="82"/>
      <c r="B32" s="83"/>
      <c r="C32" s="83"/>
      <c r="D32" s="83"/>
      <c r="E32" s="83"/>
      <c r="F32" s="83"/>
      <c r="G32" s="83"/>
      <c r="H32" s="83"/>
      <c r="I32" s="83"/>
      <c r="J32" s="83"/>
      <c r="K32" s="184"/>
      <c r="L32" s="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FF821-93FF-4958-940F-9D8505412C37}">
  <dimension ref="A1:AM8"/>
  <sheetViews>
    <sheetView workbookViewId="0">
      <selection activeCell="C13" sqref="C13"/>
    </sheetView>
  </sheetViews>
  <sheetFormatPr defaultRowHeight="14.5" outlineLevelCol="1" x14ac:dyDescent="0.35"/>
  <cols>
    <col min="1" max="1" width="68.26953125" customWidth="1"/>
    <col min="2" max="3" width="14.26953125" customWidth="1"/>
    <col min="4" max="10" width="14.26953125" hidden="1" customWidth="1" outlineLevel="1"/>
    <col min="11" max="11" width="12.26953125" style="116" customWidth="1" collapsed="1"/>
    <col min="12" max="12" width="13.453125" hidden="1" customWidth="1" outlineLevel="1"/>
    <col min="13" max="13" width="11.81640625" hidden="1" customWidth="1" outlineLevel="1"/>
    <col min="14" max="14" width="11.7265625" hidden="1" customWidth="1" outlineLevel="1"/>
    <col min="15" max="17" width="10.81640625" hidden="1" customWidth="1" outlineLevel="1"/>
    <col min="18" max="18" width="14.08984375" style="116" customWidth="1" collapsed="1"/>
    <col min="19" max="19" width="12.26953125" hidden="1" customWidth="1" outlineLevel="1"/>
    <col min="20" max="20" width="12.36328125" hidden="1" customWidth="1" outlineLevel="1"/>
    <col min="21" max="21" width="12.08984375" hidden="1" customWidth="1" outlineLevel="1"/>
    <col min="22" max="22" width="10.90625" hidden="1" customWidth="1" outlineLevel="1"/>
    <col min="23" max="23" width="0" hidden="1" customWidth="1" outlineLevel="1"/>
    <col min="24" max="24" width="9.26953125" hidden="1" customWidth="1" outlineLevel="1"/>
    <col min="25" max="25" width="15.453125" style="116" customWidth="1" collapsed="1"/>
    <col min="26" max="26" width="11.26953125" hidden="1" customWidth="1" outlineLevel="1"/>
    <col min="27" max="27" width="12.6328125" hidden="1" customWidth="1" outlineLevel="1"/>
    <col min="28" max="28" width="12.36328125" hidden="1" customWidth="1" outlineLevel="1"/>
    <col min="29" max="29" width="12.6328125" hidden="1" customWidth="1" outlineLevel="1"/>
    <col min="30" max="30" width="10.7265625" hidden="1" customWidth="1" outlineLevel="1"/>
    <col min="31" max="31" width="11.26953125" hidden="1" customWidth="1" outlineLevel="1"/>
    <col min="32" max="32" width="17" style="116" customWidth="1" collapsed="1"/>
    <col min="33" max="33" width="13.36328125" hidden="1" customWidth="1" outlineLevel="1"/>
    <col min="34" max="34" width="12.90625" hidden="1" customWidth="1" outlineLevel="1"/>
    <col min="35" max="35" width="12.6328125" hidden="1" customWidth="1" outlineLevel="1"/>
    <col min="36" max="36" width="13.08984375" hidden="1" customWidth="1" outlineLevel="1"/>
    <col min="37" max="37" width="11.453125" hidden="1" customWidth="1" outlineLevel="1"/>
    <col min="38" max="38" width="13.08984375" hidden="1" customWidth="1" outlineLevel="1"/>
    <col min="39" max="39" width="12.81640625" style="116" customWidth="1" collapsed="1"/>
  </cols>
  <sheetData>
    <row r="1" spans="1:39" ht="18" x14ac:dyDescent="0.4">
      <c r="A1" s="76" t="s">
        <v>148</v>
      </c>
    </row>
    <row r="2" spans="1:39" s="106" customFormat="1" ht="62" x14ac:dyDescent="0.35">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78" t="s">
        <v>188</v>
      </c>
    </row>
    <row r="3" spans="1:39" ht="15.5" x14ac:dyDescent="0.35">
      <c r="A3" s="87"/>
      <c r="B3" s="88"/>
      <c r="C3" s="88"/>
      <c r="D3" s="88"/>
      <c r="E3" s="88"/>
      <c r="F3" s="88"/>
      <c r="G3" s="88"/>
      <c r="H3" s="88"/>
      <c r="I3" s="88"/>
      <c r="J3" s="88"/>
      <c r="K3" s="189"/>
      <c r="L3" s="89"/>
      <c r="M3" s="89"/>
      <c r="N3" s="89"/>
      <c r="O3" s="75"/>
      <c r="P3" s="75"/>
      <c r="Q3" s="75"/>
      <c r="R3" s="184"/>
    </row>
    <row r="4" spans="1:39" ht="15.5" x14ac:dyDescent="0.35">
      <c r="A4" s="94" t="s">
        <v>178</v>
      </c>
      <c r="B4" s="94" t="s">
        <v>23</v>
      </c>
      <c r="C4" s="94">
        <v>126880.47569651381</v>
      </c>
      <c r="D4" s="94">
        <v>1012.28</v>
      </c>
      <c r="E4" s="94">
        <v>1276</v>
      </c>
      <c r="F4" s="94">
        <v>10555</v>
      </c>
      <c r="G4" s="94">
        <v>31410</v>
      </c>
      <c r="H4" s="94">
        <v>7690.3380000000006</v>
      </c>
      <c r="I4" s="94">
        <v>59339.457696513804</v>
      </c>
      <c r="J4" s="94">
        <v>15597.4</v>
      </c>
      <c r="K4" s="114">
        <v>114186.79031116801</v>
      </c>
      <c r="L4" s="91">
        <v>580</v>
      </c>
      <c r="M4" s="91">
        <v>1114.3625999999999</v>
      </c>
      <c r="N4" s="91">
        <v>0</v>
      </c>
      <c r="O4" s="91">
        <v>33248.219999999994</v>
      </c>
      <c r="P4" s="91">
        <v>13013.630000000001</v>
      </c>
      <c r="Q4" s="91">
        <v>66230.577711168007</v>
      </c>
      <c r="R4" s="113">
        <v>89194.604408124505</v>
      </c>
      <c r="S4" s="91">
        <v>284</v>
      </c>
      <c r="T4" s="91">
        <v>1473.0900000000001</v>
      </c>
      <c r="U4" s="91">
        <v>1.5</v>
      </c>
      <c r="V4" s="91">
        <v>62583.3</v>
      </c>
      <c r="W4" s="91">
        <v>21980.093000000001</v>
      </c>
      <c r="X4" s="91">
        <v>2545.3270311680003</v>
      </c>
      <c r="Y4" s="112">
        <v>70609.396501720403</v>
      </c>
      <c r="Z4" s="92">
        <v>21</v>
      </c>
      <c r="AA4" s="91">
        <f>1087.75-89+718</f>
        <v>1716.75</v>
      </c>
      <c r="AB4" s="91">
        <v>1.5</v>
      </c>
      <c r="AC4" s="91">
        <f>41873.57+89</f>
        <v>41962.57</v>
      </c>
      <c r="AD4" s="91">
        <v>6860.62</v>
      </c>
      <c r="AE4" s="91">
        <f>20553.062-718</f>
        <v>19835.062000000002</v>
      </c>
      <c r="AF4" s="113">
        <v>115144.07683999999</v>
      </c>
      <c r="AG4" s="92">
        <v>115144.07683999999</v>
      </c>
      <c r="AH4" s="91">
        <v>38.78</v>
      </c>
      <c r="AI4" s="91">
        <v>779.90200000000004</v>
      </c>
      <c r="AJ4" s="91">
        <v>2.5099999999999998</v>
      </c>
      <c r="AK4" s="91">
        <v>106245.07</v>
      </c>
      <c r="AL4" s="91">
        <v>1109.01</v>
      </c>
      <c r="AM4" s="112">
        <v>6968.8048399999998</v>
      </c>
    </row>
    <row r="5" spans="1:39" ht="15.5" x14ac:dyDescent="0.35">
      <c r="A5" s="94" t="s">
        <v>179</v>
      </c>
      <c r="B5" s="94" t="s">
        <v>180</v>
      </c>
      <c r="C5" s="94">
        <v>79051.971808150469</v>
      </c>
      <c r="D5" s="94">
        <v>501.53</v>
      </c>
      <c r="E5" s="94">
        <v>1046.1712</v>
      </c>
      <c r="F5" s="94">
        <v>4105.6499999999996</v>
      </c>
      <c r="G5" s="94">
        <v>19792</v>
      </c>
      <c r="H5" s="94">
        <v>1704.5509999999999</v>
      </c>
      <c r="I5" s="94">
        <v>44564.699608150477</v>
      </c>
      <c r="J5" s="94">
        <v>7337.37</v>
      </c>
      <c r="K5" s="114">
        <v>117110.68860000001</v>
      </c>
      <c r="L5" s="91">
        <v>342</v>
      </c>
      <c r="M5" s="91">
        <v>46013.374600000003</v>
      </c>
      <c r="N5" s="91">
        <v>6.89</v>
      </c>
      <c r="O5" s="91">
        <v>27315.633999999998</v>
      </c>
      <c r="P5" s="91">
        <v>153.35</v>
      </c>
      <c r="Q5" s="91">
        <v>43279.44</v>
      </c>
      <c r="R5" s="113">
        <v>72919.377999999997</v>
      </c>
      <c r="S5" s="91">
        <v>129</v>
      </c>
      <c r="T5" s="91">
        <v>1028.4780000000001</v>
      </c>
      <c r="U5" s="91">
        <v>0</v>
      </c>
      <c r="V5" s="91">
        <v>71124.149999999994</v>
      </c>
      <c r="W5" s="91">
        <v>366.64799999999997</v>
      </c>
      <c r="X5" s="91">
        <v>271.10200000000003</v>
      </c>
      <c r="Y5" s="112"/>
      <c r="Z5" s="91">
        <v>0</v>
      </c>
      <c r="AA5" s="91"/>
      <c r="AB5" s="91">
        <v>0</v>
      </c>
      <c r="AC5" s="91"/>
      <c r="AD5" s="91"/>
      <c r="AE5" s="91"/>
      <c r="AF5" s="112"/>
      <c r="AG5" s="91"/>
      <c r="AH5" s="91"/>
      <c r="AI5" s="91"/>
      <c r="AJ5" s="91"/>
      <c r="AK5" s="91"/>
      <c r="AL5" s="91"/>
      <c r="AM5" s="112"/>
    </row>
    <row r="6" spans="1:39" ht="15.5" x14ac:dyDescent="0.35">
      <c r="A6" s="94" t="s">
        <v>24</v>
      </c>
      <c r="B6" s="94" t="s">
        <v>23</v>
      </c>
      <c r="C6" s="94">
        <v>9899</v>
      </c>
      <c r="D6" s="94">
        <v>1710</v>
      </c>
      <c r="E6" s="94">
        <v>6.1999999999999993</v>
      </c>
      <c r="F6" s="94">
        <v>0</v>
      </c>
      <c r="G6" s="94">
        <v>189</v>
      </c>
      <c r="H6" s="94">
        <v>1486.6949999999999</v>
      </c>
      <c r="I6" s="94">
        <v>6505.85</v>
      </c>
      <c r="J6" s="94">
        <v>1.5</v>
      </c>
      <c r="K6" s="114">
        <v>15069.033792</v>
      </c>
      <c r="L6" s="91">
        <v>1970.5957920000001</v>
      </c>
      <c r="M6" s="91">
        <v>4.4580000000000002</v>
      </c>
      <c r="N6" s="91">
        <v>0</v>
      </c>
      <c r="O6" s="91">
        <v>133.32</v>
      </c>
      <c r="P6" s="91">
        <v>5389</v>
      </c>
      <c r="Q6" s="91">
        <v>7571.66</v>
      </c>
      <c r="R6" s="113">
        <v>7311.33853</v>
      </c>
      <c r="S6" s="91">
        <v>1902.21</v>
      </c>
      <c r="T6" s="91">
        <v>11.8</v>
      </c>
      <c r="U6" s="91">
        <v>0</v>
      </c>
      <c r="V6" s="91">
        <v>56.71</v>
      </c>
      <c r="W6" s="91">
        <v>4676.8239999999996</v>
      </c>
      <c r="X6" s="91">
        <v>594</v>
      </c>
      <c r="Y6" s="112">
        <v>6722.5192352069826</v>
      </c>
      <c r="Z6" s="92">
        <v>1924.3037100000001</v>
      </c>
      <c r="AA6" s="91">
        <v>5.5</v>
      </c>
      <c r="AB6" s="91">
        <v>0</v>
      </c>
      <c r="AC6" s="91">
        <v>133.1</v>
      </c>
      <c r="AD6" s="91">
        <v>4643.991</v>
      </c>
      <c r="AE6" s="91">
        <v>0.1</v>
      </c>
      <c r="AF6" s="113">
        <v>2200.85743</v>
      </c>
      <c r="AG6" s="92">
        <v>2200.85743</v>
      </c>
      <c r="AH6" s="91">
        <v>2029.32</v>
      </c>
      <c r="AI6" s="91">
        <v>0</v>
      </c>
      <c r="AJ6" s="91">
        <v>0</v>
      </c>
      <c r="AK6" s="91">
        <v>169.62243000000001</v>
      </c>
      <c r="AL6" s="91">
        <v>0.55500000000000005</v>
      </c>
      <c r="AM6" s="112">
        <v>1.36</v>
      </c>
    </row>
    <row r="7" spans="1:39" ht="15.5" x14ac:dyDescent="0.35">
      <c r="A7" s="94" t="s">
        <v>25</v>
      </c>
      <c r="B7" s="94" t="s">
        <v>23</v>
      </c>
      <c r="C7" s="94">
        <v>8423</v>
      </c>
      <c r="D7" s="94">
        <v>1695</v>
      </c>
      <c r="E7" s="94">
        <v>5.2</v>
      </c>
      <c r="F7" s="94">
        <v>0</v>
      </c>
      <c r="G7" s="94">
        <v>80</v>
      </c>
      <c r="H7" s="94">
        <v>136.661</v>
      </c>
      <c r="I7" s="94">
        <v>6505.85</v>
      </c>
      <c r="J7" s="94">
        <v>0</v>
      </c>
      <c r="K7" s="114">
        <v>9123.9240959999988</v>
      </c>
      <c r="L7" s="91">
        <v>1865.904096</v>
      </c>
      <c r="M7" s="91">
        <v>3.21</v>
      </c>
      <c r="N7" s="91">
        <v>0</v>
      </c>
      <c r="O7" s="91">
        <v>24.529999999999998</v>
      </c>
      <c r="P7" s="91">
        <v>149</v>
      </c>
      <c r="Q7" s="91">
        <v>7081.28</v>
      </c>
      <c r="R7" s="113">
        <v>23626.006880000001</v>
      </c>
      <c r="S7" s="91">
        <v>1770.9880000000001</v>
      </c>
      <c r="T7" s="91">
        <v>8.76</v>
      </c>
      <c r="U7" s="91">
        <v>0</v>
      </c>
      <c r="V7" s="91">
        <v>21699.426299999999</v>
      </c>
      <c r="W7" s="91">
        <v>136.86000000000001</v>
      </c>
      <c r="X7" s="91">
        <v>0</v>
      </c>
      <c r="Y7" s="112">
        <v>2134.6356200000005</v>
      </c>
      <c r="Z7" s="92">
        <v>1801.0574000000001</v>
      </c>
      <c r="AA7" s="91">
        <v>5.5</v>
      </c>
      <c r="AB7" s="91">
        <v>0</v>
      </c>
      <c r="AC7" s="91">
        <v>119.46940000000001</v>
      </c>
      <c r="AD7" s="91">
        <v>207.45882</v>
      </c>
      <c r="AE7" s="91">
        <v>1.1500000000000001</v>
      </c>
      <c r="AF7" s="113">
        <v>6499.9299999999994</v>
      </c>
      <c r="AG7" s="92">
        <v>6499.9299999999994</v>
      </c>
      <c r="AH7" s="91">
        <v>2028.52</v>
      </c>
      <c r="AI7" s="91">
        <v>4417.7</v>
      </c>
      <c r="AJ7" s="91">
        <v>0</v>
      </c>
      <c r="AK7" s="91">
        <v>41.41</v>
      </c>
      <c r="AL7" s="91">
        <v>0.3</v>
      </c>
      <c r="AM7" s="112">
        <v>12</v>
      </c>
    </row>
    <row r="8" spans="1:39" ht="15.5" x14ac:dyDescent="0.35">
      <c r="A8" s="94" t="s">
        <v>26</v>
      </c>
      <c r="B8" s="94" t="s">
        <v>27</v>
      </c>
      <c r="C8" s="94">
        <v>166449.14500000002</v>
      </c>
      <c r="D8" s="94">
        <v>309</v>
      </c>
      <c r="E8" s="94">
        <v>30807.599999999999</v>
      </c>
      <c r="F8" s="94">
        <v>0</v>
      </c>
      <c r="G8" s="94">
        <v>39</v>
      </c>
      <c r="H8" s="94">
        <v>18687.87</v>
      </c>
      <c r="I8" s="94">
        <v>77306.675000000003</v>
      </c>
      <c r="J8" s="94">
        <v>39299</v>
      </c>
      <c r="K8" s="114">
        <v>574627.95322664001</v>
      </c>
      <c r="L8" s="91">
        <v>0</v>
      </c>
      <c r="M8" s="91">
        <v>13789.753226639999</v>
      </c>
      <c r="N8" s="91">
        <v>0</v>
      </c>
      <c r="O8" s="91">
        <v>36.090000000000003</v>
      </c>
      <c r="P8" s="91">
        <v>3962</v>
      </c>
      <c r="Q8" s="91">
        <v>556840.11</v>
      </c>
      <c r="R8" s="113">
        <v>285180.36189043475</v>
      </c>
      <c r="S8" s="91">
        <v>0</v>
      </c>
      <c r="T8" s="91">
        <v>1993</v>
      </c>
      <c r="U8" s="91">
        <v>0</v>
      </c>
      <c r="V8" s="91">
        <v>207</v>
      </c>
      <c r="W8" s="91">
        <v>2308.66</v>
      </c>
      <c r="X8" s="91">
        <v>280537</v>
      </c>
      <c r="Y8" s="112">
        <v>518613.57504999998</v>
      </c>
      <c r="Z8" s="91">
        <v>2551</v>
      </c>
      <c r="AA8" s="91">
        <v>877</v>
      </c>
      <c r="AB8" s="91">
        <v>0</v>
      </c>
      <c r="AC8" s="91">
        <v>0</v>
      </c>
      <c r="AD8" s="91">
        <v>13362.359999999999</v>
      </c>
      <c r="AE8" s="91">
        <v>501823.21505</v>
      </c>
      <c r="AF8" s="113">
        <v>402149.3</v>
      </c>
      <c r="AG8" s="92">
        <v>402149.3</v>
      </c>
      <c r="AH8" s="91">
        <v>4714</v>
      </c>
      <c r="AI8" s="91">
        <v>2.5</v>
      </c>
      <c r="AJ8" s="91">
        <v>0</v>
      </c>
      <c r="AK8" s="91">
        <v>0</v>
      </c>
      <c r="AL8" s="91">
        <v>0</v>
      </c>
      <c r="AM8" s="112">
        <v>397432.8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8B3A1-38F9-41BD-BFC3-2957D8029828}">
  <dimension ref="A1:AT32"/>
  <sheetViews>
    <sheetView workbookViewId="0">
      <selection activeCell="D1" sqref="D1:J1048576"/>
    </sheetView>
  </sheetViews>
  <sheetFormatPr defaultRowHeight="14.5" outlineLevelCol="1" x14ac:dyDescent="0.35"/>
  <cols>
    <col min="1" max="1" width="60.90625" customWidth="1"/>
    <col min="2" max="2" width="17.1796875" customWidth="1"/>
    <col min="3" max="3" width="13.7265625" customWidth="1"/>
    <col min="4" max="8" width="12" hidden="1" customWidth="1" outlineLevel="1"/>
    <col min="9" max="9" width="13.08984375" hidden="1" customWidth="1" outlineLevel="1"/>
    <col min="10" max="10" width="12" hidden="1" customWidth="1" outlineLevel="1"/>
    <col min="11" max="11" width="13.453125" customWidth="1" collapsed="1"/>
    <col min="12" max="12" width="13.36328125" hidden="1" customWidth="1" outlineLevel="1"/>
    <col min="13" max="16" width="11.81640625" hidden="1" customWidth="1" outlineLevel="1"/>
    <col min="17" max="17" width="13.1796875" hidden="1" customWidth="1" outlineLevel="1"/>
    <col min="18" max="18" width="13.36328125" customWidth="1" collapsed="1"/>
    <col min="19" max="20" width="12" hidden="1" customWidth="1" outlineLevel="1"/>
    <col min="21" max="21" width="10.90625" hidden="1" customWidth="1" outlineLevel="1"/>
    <col min="22" max="23" width="12" hidden="1" customWidth="1" outlineLevel="1"/>
    <col min="24" max="24" width="13.26953125" hidden="1" customWidth="1" outlineLevel="1"/>
    <col min="25" max="25" width="14.36328125" customWidth="1" collapsed="1"/>
    <col min="26" max="27" width="12" hidden="1" customWidth="1" outlineLevel="1"/>
    <col min="28" max="28" width="10.90625" hidden="1" customWidth="1" outlineLevel="1"/>
    <col min="29" max="29" width="12" hidden="1" customWidth="1" outlineLevel="1"/>
    <col min="30" max="30" width="12.81640625" hidden="1" customWidth="1" outlineLevel="1"/>
    <col min="31" max="31" width="13.08984375" hidden="1" customWidth="1" outlineLevel="1"/>
    <col min="32" max="32" width="13.36328125" customWidth="1" collapsed="1"/>
    <col min="33" max="34" width="12" hidden="1" customWidth="1" outlineLevel="1"/>
    <col min="35" max="35" width="10.90625" hidden="1" customWidth="1" outlineLevel="1"/>
    <col min="36" max="37" width="12" hidden="1" customWidth="1" outlineLevel="1"/>
    <col min="38" max="38" width="13.26953125" hidden="1" customWidth="1" outlineLevel="1"/>
    <col min="39" max="39" width="13.26953125" bestFit="1" customWidth="1" collapsed="1"/>
    <col min="40" max="41" width="12" hidden="1" customWidth="1" outlineLevel="1"/>
    <col min="42" max="42" width="10.90625" hidden="1" customWidth="1" outlineLevel="1"/>
    <col min="43" max="44" width="12" hidden="1" customWidth="1" outlineLevel="1"/>
    <col min="45" max="45" width="13.26953125" hidden="1" customWidth="1" outlineLevel="1"/>
    <col min="46" max="46" width="8.7265625" collapsed="1"/>
  </cols>
  <sheetData>
    <row r="1" spans="1:45" ht="18.5" x14ac:dyDescent="0.45">
      <c r="A1" s="86" t="s">
        <v>149</v>
      </c>
    </row>
    <row r="2" spans="1:45" x14ac:dyDescent="0.35">
      <c r="B2" s="1"/>
      <c r="C2" s="1"/>
      <c r="D2" s="1"/>
      <c r="E2" s="1"/>
      <c r="F2" s="1"/>
      <c r="G2" s="1"/>
      <c r="H2" s="1"/>
      <c r="I2" s="1"/>
      <c r="J2" s="1"/>
      <c r="K2" s="1"/>
      <c r="L2" s="1"/>
      <c r="M2" s="1"/>
      <c r="N2" s="1"/>
      <c r="O2" s="1"/>
      <c r="P2" s="1"/>
      <c r="Q2" s="1"/>
      <c r="R2" s="1"/>
    </row>
    <row r="3" spans="1:45" s="109" customFormat="1" ht="62" x14ac:dyDescent="0.35">
      <c r="A3" s="105"/>
      <c r="B3" s="106" t="s">
        <v>0</v>
      </c>
      <c r="C3" s="106" t="s">
        <v>240</v>
      </c>
      <c r="D3" s="106" t="s">
        <v>241</v>
      </c>
      <c r="E3" s="106" t="s">
        <v>245</v>
      </c>
      <c r="F3" s="106" t="s">
        <v>244</v>
      </c>
      <c r="G3" s="106" t="s">
        <v>243</v>
      </c>
      <c r="H3" s="106" t="s">
        <v>242</v>
      </c>
      <c r="I3" s="106" t="s">
        <v>248</v>
      </c>
      <c r="J3" s="106" t="s">
        <v>249</v>
      </c>
      <c r="K3" s="106" t="s">
        <v>192</v>
      </c>
      <c r="L3" s="106" t="s">
        <v>194</v>
      </c>
      <c r="M3" s="106" t="s">
        <v>195</v>
      </c>
      <c r="N3" s="106" t="s">
        <v>196</v>
      </c>
      <c r="O3" s="106" t="s">
        <v>197</v>
      </c>
      <c r="P3" s="106" t="s">
        <v>184</v>
      </c>
      <c r="Q3" s="106" t="s">
        <v>185</v>
      </c>
      <c r="R3" s="106" t="s">
        <v>191</v>
      </c>
      <c r="S3" s="106" t="s">
        <v>198</v>
      </c>
      <c r="T3" s="106" t="s">
        <v>199</v>
      </c>
      <c r="U3" s="106" t="s">
        <v>200</v>
      </c>
      <c r="V3" s="106" t="s">
        <v>201</v>
      </c>
      <c r="W3" s="106" t="s">
        <v>183</v>
      </c>
      <c r="X3" s="106" t="s">
        <v>202</v>
      </c>
      <c r="Y3" s="107" t="s">
        <v>190</v>
      </c>
      <c r="Z3" s="108" t="s">
        <v>203</v>
      </c>
      <c r="AA3" s="108" t="s">
        <v>204</v>
      </c>
      <c r="AB3" s="108" t="s">
        <v>205</v>
      </c>
      <c r="AC3" s="108" t="s">
        <v>206</v>
      </c>
      <c r="AD3" s="108" t="s">
        <v>182</v>
      </c>
      <c r="AE3" s="108" t="s">
        <v>187</v>
      </c>
      <c r="AF3" s="106" t="s">
        <v>189</v>
      </c>
      <c r="AG3" s="106" t="s">
        <v>207</v>
      </c>
      <c r="AH3" s="106" t="s">
        <v>208</v>
      </c>
      <c r="AI3" s="106" t="s">
        <v>209</v>
      </c>
      <c r="AJ3" s="106" t="s">
        <v>210</v>
      </c>
      <c r="AK3" s="106" t="s">
        <v>181</v>
      </c>
      <c r="AL3" s="106" t="s">
        <v>211</v>
      </c>
      <c r="AM3" s="106" t="s">
        <v>188</v>
      </c>
      <c r="AN3" s="106" t="s">
        <v>212</v>
      </c>
      <c r="AO3" s="106" t="s">
        <v>213</v>
      </c>
      <c r="AP3" s="106" t="s">
        <v>214</v>
      </c>
      <c r="AQ3" s="106" t="s">
        <v>215</v>
      </c>
      <c r="AR3" s="106" t="s">
        <v>186</v>
      </c>
      <c r="AS3" s="106" t="s">
        <v>216</v>
      </c>
    </row>
    <row r="4" spans="1:45" ht="15.5" x14ac:dyDescent="0.35">
      <c r="A4" s="94"/>
      <c r="B4" s="94"/>
      <c r="C4" s="94"/>
      <c r="D4" s="94"/>
      <c r="E4" s="94"/>
      <c r="F4" s="94"/>
      <c r="G4" s="94"/>
      <c r="H4" s="94"/>
      <c r="I4" s="94"/>
      <c r="J4" s="94"/>
      <c r="K4" s="99"/>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row>
    <row r="5" spans="1:45" ht="15.5" x14ac:dyDescent="0.35">
      <c r="A5" s="93" t="s">
        <v>223</v>
      </c>
      <c r="B5" s="94"/>
      <c r="C5" s="94"/>
      <c r="D5" s="94"/>
      <c r="E5" s="94"/>
      <c r="F5" s="94"/>
      <c r="G5" s="94"/>
      <c r="H5" s="94"/>
      <c r="I5" s="94"/>
      <c r="J5" s="94"/>
      <c r="K5" s="99"/>
      <c r="L5" s="91"/>
      <c r="M5" s="91"/>
      <c r="N5" s="91"/>
      <c r="O5" s="91"/>
      <c r="P5" s="91"/>
      <c r="Q5" s="91"/>
      <c r="R5" s="92"/>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row>
    <row r="6" spans="1:45" ht="15.5" x14ac:dyDescent="0.35">
      <c r="A6" s="94" t="s">
        <v>4</v>
      </c>
      <c r="B6" s="94" t="s">
        <v>2</v>
      </c>
      <c r="C6" s="91">
        <v>120091</v>
      </c>
      <c r="D6" s="94">
        <v>4098</v>
      </c>
      <c r="E6" s="94">
        <v>8684</v>
      </c>
      <c r="F6" s="94">
        <v>1351</v>
      </c>
      <c r="G6" s="94">
        <v>4994</v>
      </c>
      <c r="H6" s="94">
        <v>5204</v>
      </c>
      <c r="I6" s="94">
        <v>62863</v>
      </c>
      <c r="J6" s="94">
        <v>32840</v>
      </c>
      <c r="K6" s="91">
        <v>121344</v>
      </c>
      <c r="L6" s="91">
        <v>3495</v>
      </c>
      <c r="M6" s="91">
        <v>7921</v>
      </c>
      <c r="N6" s="91">
        <v>1359</v>
      </c>
      <c r="O6" s="91" t="e">
        <f>#REF!</f>
        <v>#REF!</v>
      </c>
      <c r="P6" s="91">
        <v>4689</v>
      </c>
      <c r="Q6" s="91">
        <v>95555</v>
      </c>
      <c r="R6" s="92">
        <v>134003</v>
      </c>
      <c r="S6" s="91">
        <v>5753</v>
      </c>
      <c r="T6" s="91">
        <v>8078</v>
      </c>
      <c r="U6" s="91">
        <v>1714</v>
      </c>
      <c r="V6" s="91">
        <v>6392</v>
      </c>
      <c r="W6" s="91">
        <v>5293</v>
      </c>
      <c r="X6" s="91">
        <v>103092</v>
      </c>
      <c r="Y6" s="92">
        <v>119726</v>
      </c>
      <c r="Z6" s="98">
        <v>5488</v>
      </c>
      <c r="AA6" s="98">
        <f>8638-596+228</f>
        <v>8270</v>
      </c>
      <c r="AB6" s="98">
        <v>1695</v>
      </c>
      <c r="AC6" s="98">
        <f>6385+596</f>
        <v>6981</v>
      </c>
      <c r="AD6" s="98">
        <v>4834</v>
      </c>
      <c r="AE6" s="98">
        <f>89738-228</f>
        <v>89510</v>
      </c>
      <c r="AF6" s="92">
        <v>123786</v>
      </c>
      <c r="AG6" s="91">
        <v>5577</v>
      </c>
      <c r="AH6" s="91">
        <v>8657</v>
      </c>
      <c r="AI6" s="91">
        <v>1702</v>
      </c>
      <c r="AJ6" s="91">
        <v>6144</v>
      </c>
      <c r="AK6" s="91">
        <v>4190</v>
      </c>
      <c r="AL6" s="91">
        <v>96808</v>
      </c>
      <c r="AM6" s="92">
        <v>114194</v>
      </c>
      <c r="AN6" s="91">
        <v>5766</v>
      </c>
      <c r="AO6" s="91">
        <v>6842</v>
      </c>
      <c r="AP6" s="91">
        <v>1622</v>
      </c>
      <c r="AQ6" s="91">
        <v>6653</v>
      </c>
      <c r="AR6" s="91">
        <v>4116</v>
      </c>
      <c r="AS6" s="91">
        <v>85131</v>
      </c>
    </row>
    <row r="7" spans="1:45" s="4" customFormat="1" ht="15.5" x14ac:dyDescent="0.35">
      <c r="A7" s="94" t="s">
        <v>5</v>
      </c>
      <c r="B7" s="101" t="s">
        <v>193</v>
      </c>
      <c r="C7" s="176">
        <v>0.47178389721128144</v>
      </c>
      <c r="D7" s="176">
        <v>0.33113714006832601</v>
      </c>
      <c r="E7" s="176">
        <v>0.46257485029940121</v>
      </c>
      <c r="F7" s="176">
        <v>0.61584011843079201</v>
      </c>
      <c r="G7" s="176">
        <v>0.41710052062474973</v>
      </c>
      <c r="H7" s="176">
        <v>0.22098385857033051</v>
      </c>
      <c r="I7" s="176">
        <v>0.61801059446733375</v>
      </c>
      <c r="J7" s="176">
        <v>0.25353227771010961</v>
      </c>
      <c r="K7" s="104">
        <v>0.43052079499447921</v>
      </c>
      <c r="L7" s="104">
        <v>0.31018651362984218</v>
      </c>
      <c r="M7" s="104">
        <v>0.43577808529374762</v>
      </c>
      <c r="N7" s="104">
        <v>0.60859554873369148</v>
      </c>
      <c r="O7" s="104">
        <v>0.41503474415666458</v>
      </c>
      <c r="P7" s="104">
        <v>0.23901918976545841</v>
      </c>
      <c r="Q7" s="104">
        <v>0.44333236910616142</v>
      </c>
      <c r="R7" s="102">
        <v>0.43940807295359058</v>
      </c>
      <c r="S7" s="104">
        <v>0.3055796975491048</v>
      </c>
      <c r="T7" s="104">
        <v>0.42782867046298589</v>
      </c>
      <c r="U7" s="104">
        <v>0.6038506417736289</v>
      </c>
      <c r="V7" s="104">
        <v>0.40816645807259072</v>
      </c>
      <c r="W7" s="104">
        <v>0.25146419799735498</v>
      </c>
      <c r="X7" s="104">
        <v>0.47034687463624725</v>
      </c>
      <c r="Y7" s="102">
        <v>0.45265857040241886</v>
      </c>
      <c r="Z7" s="104">
        <v>0.3125</v>
      </c>
      <c r="AA7" s="104">
        <v>0.42822412595508219</v>
      </c>
      <c r="AB7" s="104">
        <v>0.59823008849557524</v>
      </c>
      <c r="AC7" s="104">
        <v>0.42067345340642132</v>
      </c>
      <c r="AD7" s="104">
        <v>0.25362019031857674</v>
      </c>
      <c r="AE7" s="104">
        <v>0.47765717979005551</v>
      </c>
      <c r="AF7" s="102">
        <v>0.43342542775435022</v>
      </c>
      <c r="AG7" s="104">
        <v>0.32293347677963063</v>
      </c>
      <c r="AH7" s="104">
        <v>0.42358784798429017</v>
      </c>
      <c r="AI7" s="104">
        <v>0.59106933019976493</v>
      </c>
      <c r="AJ7" s="104">
        <v>0.40999348958333331</v>
      </c>
      <c r="AK7" s="104">
        <v>0.2675417661097852</v>
      </c>
      <c r="AL7" s="104">
        <v>0.4483203867448971</v>
      </c>
      <c r="AM7" s="102">
        <v>0.42856016953605269</v>
      </c>
      <c r="AN7" s="104">
        <v>0.32188692334373914</v>
      </c>
      <c r="AO7" s="104">
        <v>0.36772873428821984</v>
      </c>
      <c r="AP7" s="104">
        <v>0.6276202219482121</v>
      </c>
      <c r="AQ7" s="104">
        <v>0.40087178716368554</v>
      </c>
      <c r="AR7" s="104">
        <v>0.26579203109815353</v>
      </c>
      <c r="AS7" s="104">
        <v>0.45384172628067332</v>
      </c>
    </row>
    <row r="8" spans="1:45" s="4" customFormat="1" ht="15.5" x14ac:dyDescent="0.35">
      <c r="A8" s="94" t="s">
        <v>7</v>
      </c>
      <c r="B8" s="101" t="s">
        <v>193</v>
      </c>
      <c r="C8" s="176">
        <v>0.52821610278871856</v>
      </c>
      <c r="D8" s="176">
        <v>0.66886285993167394</v>
      </c>
      <c r="E8" s="176">
        <v>0.53742514970059885</v>
      </c>
      <c r="F8" s="176">
        <v>0.38415988156920799</v>
      </c>
      <c r="G8" s="176">
        <v>0.58289947937525022</v>
      </c>
      <c r="H8" s="176">
        <v>0.77901614142966946</v>
      </c>
      <c r="I8" s="176">
        <v>0.38198940553266625</v>
      </c>
      <c r="J8" s="176">
        <v>0.74646772228989033</v>
      </c>
      <c r="K8" s="104">
        <v>0.56947920500552085</v>
      </c>
      <c r="L8" s="104">
        <v>0.68981348637015782</v>
      </c>
      <c r="M8" s="104">
        <v>0.56422191470625238</v>
      </c>
      <c r="N8" s="104">
        <v>0.39140445126630852</v>
      </c>
      <c r="O8" s="104">
        <v>0.58496525584333536</v>
      </c>
      <c r="P8" s="104">
        <v>0.76098081023454156</v>
      </c>
      <c r="Q8" s="104">
        <v>0.55666763089383853</v>
      </c>
      <c r="R8" s="102">
        <v>0.56059192704640948</v>
      </c>
      <c r="S8" s="104">
        <v>0.69442030245089525</v>
      </c>
      <c r="T8" s="104">
        <v>0.57217132953701411</v>
      </c>
      <c r="U8" s="104">
        <v>0.3961493582263711</v>
      </c>
      <c r="V8" s="104">
        <v>0.59183354192740922</v>
      </c>
      <c r="W8" s="104">
        <v>0.74853580200264502</v>
      </c>
      <c r="X8" s="104">
        <v>0.52965312536375275</v>
      </c>
      <c r="Y8" s="102">
        <v>0.54734142959758114</v>
      </c>
      <c r="Z8" s="104">
        <v>0.6875</v>
      </c>
      <c r="AA8" s="104">
        <v>0.57177587404491781</v>
      </c>
      <c r="AB8" s="104">
        <v>0.40176991150442476</v>
      </c>
      <c r="AC8" s="104">
        <v>0.57932654659357863</v>
      </c>
      <c r="AD8" s="104">
        <v>0.74637980968142326</v>
      </c>
      <c r="AE8" s="104">
        <v>0.52234282020994449</v>
      </c>
      <c r="AF8" s="102">
        <v>0.56657457224564978</v>
      </c>
      <c r="AG8" s="104">
        <v>0.67706652322036942</v>
      </c>
      <c r="AH8" s="104">
        <v>0.57641215201570983</v>
      </c>
      <c r="AI8" s="104">
        <v>0.40893066980023507</v>
      </c>
      <c r="AJ8" s="104">
        <v>0.59000651041666674</v>
      </c>
      <c r="AK8" s="104">
        <v>0.7324582338902148</v>
      </c>
      <c r="AL8" s="104">
        <v>0.55167961325510295</v>
      </c>
      <c r="AM8" s="102">
        <v>0.57143983046394731</v>
      </c>
      <c r="AN8" s="104">
        <v>0.67811307665626086</v>
      </c>
      <c r="AO8" s="104">
        <v>0.63227126571178016</v>
      </c>
      <c r="AP8" s="104">
        <v>0.3723797780517879</v>
      </c>
      <c r="AQ8" s="104">
        <v>0.59912821283631446</v>
      </c>
      <c r="AR8" s="104">
        <v>0.73420796890184647</v>
      </c>
      <c r="AS8" s="104">
        <v>0.54615827371932668</v>
      </c>
    </row>
    <row r="9" spans="1:45" ht="15.5" x14ac:dyDescent="0.35">
      <c r="A9" s="94" t="s">
        <v>8</v>
      </c>
      <c r="B9" s="94" t="s">
        <v>2</v>
      </c>
      <c r="C9" s="94">
        <v>1041</v>
      </c>
      <c r="D9" s="94">
        <v>101</v>
      </c>
      <c r="E9" s="94">
        <v>152</v>
      </c>
      <c r="F9" s="94">
        <v>9</v>
      </c>
      <c r="G9" s="94">
        <v>101</v>
      </c>
      <c r="H9" s="94">
        <v>42</v>
      </c>
      <c r="I9" s="94">
        <v>310</v>
      </c>
      <c r="J9" s="94">
        <v>326</v>
      </c>
      <c r="K9" s="91">
        <v>790</v>
      </c>
      <c r="L9" s="91">
        <v>54</v>
      </c>
      <c r="M9" s="91">
        <v>107</v>
      </c>
      <c r="N9" s="91">
        <v>12</v>
      </c>
      <c r="O9" s="91">
        <v>147</v>
      </c>
      <c r="P9" s="91">
        <v>72</v>
      </c>
      <c r="Q9" s="91">
        <v>398</v>
      </c>
      <c r="R9" s="92">
        <v>834.03828232069441</v>
      </c>
      <c r="S9" s="91">
        <v>117</v>
      </c>
      <c r="T9" s="91">
        <v>120</v>
      </c>
      <c r="U9" s="91">
        <v>10</v>
      </c>
      <c r="V9" s="91">
        <v>151</v>
      </c>
      <c r="W9" s="91">
        <v>80.038282320694378</v>
      </c>
      <c r="X9" s="91">
        <v>353</v>
      </c>
      <c r="Y9" s="92">
        <v>857.49849999999981</v>
      </c>
      <c r="Z9" s="98">
        <v>99.999999999999872</v>
      </c>
      <c r="AA9" s="98">
        <f>149.869-25</f>
        <v>124.869</v>
      </c>
      <c r="AB9" s="98">
        <v>22.098700000000001</v>
      </c>
      <c r="AC9" s="98">
        <f>269.1064+25</f>
        <v>294.10640000000001</v>
      </c>
      <c r="AD9" s="98">
        <v>60.436399999999999</v>
      </c>
      <c r="AE9" s="98">
        <v>252.85249999999999</v>
      </c>
      <c r="AF9" s="92"/>
      <c r="AG9" s="91"/>
      <c r="AH9" s="91"/>
      <c r="AI9" s="91"/>
      <c r="AJ9" s="91"/>
      <c r="AK9" s="91"/>
      <c r="AL9" s="91"/>
      <c r="AM9" s="92"/>
      <c r="AN9" s="91"/>
      <c r="AO9" s="91"/>
      <c r="AP9" s="91"/>
      <c r="AQ9" s="91"/>
      <c r="AR9" s="91"/>
      <c r="AS9" s="91"/>
    </row>
    <row r="10" spans="1:45" ht="15.5" x14ac:dyDescent="0.35">
      <c r="A10" s="94" t="s">
        <v>150</v>
      </c>
      <c r="B10" s="94" t="s">
        <v>2</v>
      </c>
      <c r="C10" s="94">
        <v>39554</v>
      </c>
      <c r="D10">
        <v>2783</v>
      </c>
      <c r="E10">
        <v>2411</v>
      </c>
      <c r="F10">
        <v>0</v>
      </c>
      <c r="G10">
        <v>1598</v>
      </c>
      <c r="H10">
        <v>1377</v>
      </c>
      <c r="I10">
        <v>6579</v>
      </c>
      <c r="J10">
        <v>24806</v>
      </c>
      <c r="K10" s="91">
        <v>41458</v>
      </c>
      <c r="L10" s="91">
        <v>3241</v>
      </c>
      <c r="M10" s="91">
        <v>2235</v>
      </c>
      <c r="N10" s="91">
        <v>32</v>
      </c>
      <c r="O10" s="91">
        <v>1729</v>
      </c>
      <c r="P10" s="91">
        <v>1440</v>
      </c>
      <c r="Q10" s="91">
        <v>32781</v>
      </c>
      <c r="R10" s="92">
        <v>46568.405045429165</v>
      </c>
      <c r="S10" s="91">
        <v>3669</v>
      </c>
      <c r="T10" s="91">
        <v>2506</v>
      </c>
      <c r="U10" s="91">
        <v>13</v>
      </c>
      <c r="V10" s="91">
        <v>1947</v>
      </c>
      <c r="W10" s="91">
        <v>829.40504542916597</v>
      </c>
      <c r="X10" s="91">
        <v>37442</v>
      </c>
      <c r="Y10" s="92"/>
      <c r="Z10" s="98"/>
      <c r="AA10" s="98"/>
      <c r="AB10" s="98"/>
      <c r="AC10" s="98"/>
      <c r="AD10" s="98"/>
      <c r="AE10" s="98"/>
      <c r="AF10" s="92"/>
      <c r="AG10" s="91"/>
      <c r="AH10" s="91"/>
      <c r="AI10" s="91"/>
      <c r="AJ10" s="91"/>
      <c r="AK10" s="91"/>
      <c r="AL10" s="91"/>
      <c r="AM10" s="92"/>
      <c r="AN10" s="91"/>
      <c r="AO10" s="91"/>
      <c r="AP10" s="91"/>
      <c r="AQ10" s="91"/>
      <c r="AR10" s="91"/>
      <c r="AS10" s="91"/>
    </row>
    <row r="11" spans="1:45" ht="15.5" x14ac:dyDescent="0.35">
      <c r="A11" s="94" t="s">
        <v>218</v>
      </c>
      <c r="B11" s="94"/>
      <c r="C11" s="94"/>
      <c r="D11" s="94"/>
      <c r="E11" s="94"/>
      <c r="F11" s="94"/>
      <c r="G11" s="94"/>
      <c r="H11" s="94"/>
      <c r="I11" s="94"/>
      <c r="J11" s="94"/>
      <c r="K11" s="99">
        <v>0</v>
      </c>
      <c r="L11" s="91">
        <v>0</v>
      </c>
      <c r="M11" s="91">
        <v>0</v>
      </c>
      <c r="N11" s="91">
        <v>0</v>
      </c>
      <c r="O11" s="91">
        <v>0</v>
      </c>
      <c r="P11" s="91">
        <v>0</v>
      </c>
      <c r="Q11" s="91">
        <v>0</v>
      </c>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row>
    <row r="12" spans="1:45" ht="15.5" x14ac:dyDescent="0.35">
      <c r="A12" s="94" t="s">
        <v>151</v>
      </c>
      <c r="B12" s="94" t="s">
        <v>2</v>
      </c>
      <c r="C12" s="94">
        <v>79589.21509389671</v>
      </c>
      <c r="D12" s="94">
        <v>2196</v>
      </c>
      <c r="E12" s="94">
        <v>6014</v>
      </c>
      <c r="F12" s="94">
        <v>553</v>
      </c>
      <c r="G12" s="94">
        <v>2580</v>
      </c>
      <c r="H12" s="94">
        <v>3897</v>
      </c>
      <c r="I12" s="94">
        <v>34274.21509389671</v>
      </c>
      <c r="J12" s="94">
        <v>30057</v>
      </c>
      <c r="K12" s="99">
        <v>70502</v>
      </c>
      <c r="L12" s="91">
        <v>1642</v>
      </c>
      <c r="M12" s="91">
        <v>5157</v>
      </c>
      <c r="N12" s="91">
        <v>451</v>
      </c>
      <c r="O12" s="91">
        <v>2315</v>
      </c>
      <c r="P12" s="91">
        <v>3296</v>
      </c>
      <c r="Q12" s="91">
        <v>57622</v>
      </c>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row>
    <row r="13" spans="1:45" ht="15.5" x14ac:dyDescent="0.35">
      <c r="A13" s="94" t="s">
        <v>152</v>
      </c>
      <c r="B13" s="94" t="s">
        <v>2</v>
      </c>
      <c r="C13" s="94">
        <v>8270.6320000000014</v>
      </c>
      <c r="D13" s="94">
        <v>376</v>
      </c>
      <c r="E13" s="94">
        <v>845</v>
      </c>
      <c r="F13" s="94">
        <v>156</v>
      </c>
      <c r="G13" s="94">
        <v>1189</v>
      </c>
      <c r="H13" s="94">
        <v>244</v>
      </c>
      <c r="I13" s="94">
        <v>4353.6320000000005</v>
      </c>
      <c r="J13" s="94">
        <v>1104</v>
      </c>
      <c r="K13" s="99">
        <v>8683</v>
      </c>
      <c r="L13" s="91">
        <v>356</v>
      </c>
      <c r="M13" s="91">
        <v>854</v>
      </c>
      <c r="N13" s="91">
        <v>149</v>
      </c>
      <c r="O13" s="91">
        <v>1184</v>
      </c>
      <c r="P13" s="91">
        <v>256</v>
      </c>
      <c r="Q13" s="91">
        <v>5879</v>
      </c>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row>
    <row r="14" spans="1:45" ht="15.5" x14ac:dyDescent="0.35">
      <c r="A14" s="94" t="s">
        <v>153</v>
      </c>
      <c r="B14" s="94" t="s">
        <v>2</v>
      </c>
      <c r="C14" s="94">
        <v>6185.0133098591541</v>
      </c>
      <c r="D14" s="94">
        <v>505</v>
      </c>
      <c r="E14" s="94">
        <v>513</v>
      </c>
      <c r="F14" s="94">
        <v>299</v>
      </c>
      <c r="G14" s="94">
        <v>408</v>
      </c>
      <c r="H14" s="94">
        <v>499</v>
      </c>
      <c r="I14" s="94">
        <v>3508.0133098591546</v>
      </c>
      <c r="J14" s="94">
        <v>446</v>
      </c>
      <c r="K14" s="99">
        <v>5006</v>
      </c>
      <c r="L14" s="91">
        <v>482</v>
      </c>
      <c r="M14" s="91">
        <v>549</v>
      </c>
      <c r="N14" s="91">
        <v>242</v>
      </c>
      <c r="O14" s="91">
        <v>429</v>
      </c>
      <c r="P14" s="91">
        <v>525</v>
      </c>
      <c r="Q14" s="91">
        <v>2772</v>
      </c>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row>
    <row r="15" spans="1:45" ht="15.5" x14ac:dyDescent="0.35">
      <c r="A15" s="94" t="s">
        <v>154</v>
      </c>
      <c r="B15" s="94" t="s">
        <v>2</v>
      </c>
      <c r="C15" s="94">
        <v>23093.613732394369</v>
      </c>
      <c r="D15" s="94">
        <v>1019</v>
      </c>
      <c r="E15" s="94">
        <v>1274</v>
      </c>
      <c r="F15" s="94">
        <v>335</v>
      </c>
      <c r="G15" s="94">
        <v>817</v>
      </c>
      <c r="H15" s="94">
        <v>368</v>
      </c>
      <c r="I15" s="94">
        <v>18026.613732394369</v>
      </c>
      <c r="J15" s="94">
        <v>1225</v>
      </c>
      <c r="K15" s="99">
        <v>19575</v>
      </c>
      <c r="L15" s="91">
        <v>1005</v>
      </c>
      <c r="M15" s="91">
        <v>1369</v>
      </c>
      <c r="N15" s="91">
        <v>459</v>
      </c>
      <c r="O15" s="91">
        <v>821</v>
      </c>
      <c r="P15" s="91">
        <v>418</v>
      </c>
      <c r="Q15" s="91">
        <v>15455</v>
      </c>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row>
    <row r="16" spans="1:45" ht="15.5" x14ac:dyDescent="0.35">
      <c r="A16" s="94" t="s">
        <v>155</v>
      </c>
      <c r="B16" s="94" t="s">
        <v>2</v>
      </c>
      <c r="C16" s="94">
        <v>3248.5258638497658</v>
      </c>
      <c r="D16" s="94">
        <v>2</v>
      </c>
      <c r="E16" s="94">
        <v>41</v>
      </c>
      <c r="F16" s="94">
        <v>8</v>
      </c>
      <c r="G16" s="94">
        <v>0</v>
      </c>
      <c r="H16" s="94">
        <v>196</v>
      </c>
      <c r="I16" s="94">
        <v>2993.5258638497658</v>
      </c>
      <c r="J16" s="94">
        <v>8</v>
      </c>
      <c r="K16" s="99">
        <v>2450</v>
      </c>
      <c r="L16" s="91">
        <v>0</v>
      </c>
      <c r="M16" s="91">
        <v>17</v>
      </c>
      <c r="N16" s="91">
        <v>2</v>
      </c>
      <c r="O16" s="91">
        <v>0</v>
      </c>
      <c r="P16" s="91">
        <v>0</v>
      </c>
      <c r="Q16" s="91">
        <v>2431</v>
      </c>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row>
    <row r="17" spans="1:45" ht="15.5" x14ac:dyDescent="0.35">
      <c r="A17" s="94" t="s">
        <v>219</v>
      </c>
      <c r="B17" s="94"/>
      <c r="C17" s="94"/>
      <c r="D17" s="94"/>
      <c r="E17" s="94"/>
      <c r="F17" s="94"/>
      <c r="G17" s="94"/>
      <c r="H17" s="94"/>
      <c r="I17" s="94"/>
      <c r="J17" s="94"/>
      <c r="K17" s="99">
        <v>0</v>
      </c>
      <c r="L17" s="91">
        <v>0</v>
      </c>
      <c r="M17" s="91">
        <v>0</v>
      </c>
      <c r="N17" s="91">
        <v>0</v>
      </c>
      <c r="O17" s="91">
        <v>0</v>
      </c>
      <c r="P17" s="91">
        <v>0</v>
      </c>
      <c r="Q17" s="91">
        <v>0</v>
      </c>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row>
    <row r="18" spans="1:45" ht="15.5" x14ac:dyDescent="0.35">
      <c r="A18" s="94" t="s">
        <v>156</v>
      </c>
      <c r="B18" s="94" t="s">
        <v>2</v>
      </c>
      <c r="C18" s="91">
        <v>24759.215139442233</v>
      </c>
      <c r="D18" s="94">
        <v>660</v>
      </c>
      <c r="E18" s="94">
        <v>1974</v>
      </c>
      <c r="F18" s="94">
        <v>381</v>
      </c>
      <c r="G18" s="94">
        <v>750</v>
      </c>
      <c r="H18" s="94">
        <v>1204</v>
      </c>
      <c r="I18" s="94">
        <v>12099.215139442231</v>
      </c>
      <c r="J18" s="94">
        <v>7690</v>
      </c>
      <c r="K18" s="99">
        <v>20866</v>
      </c>
      <c r="L18" s="91">
        <v>489</v>
      </c>
      <c r="M18" s="91">
        <v>1479</v>
      </c>
      <c r="N18" s="91">
        <v>247</v>
      </c>
      <c r="O18" s="91">
        <v>673</v>
      </c>
      <c r="P18" s="91">
        <v>877</v>
      </c>
      <c r="Q18" s="91">
        <v>17097</v>
      </c>
      <c r="R18" s="91"/>
      <c r="S18" s="91"/>
      <c r="T18" s="91"/>
      <c r="U18" s="91"/>
      <c r="V18" s="92"/>
      <c r="W18" s="92"/>
      <c r="X18" s="92"/>
      <c r="Y18" s="91"/>
      <c r="Z18" s="91"/>
      <c r="AA18" s="91"/>
      <c r="AB18" s="91"/>
      <c r="AC18" s="91"/>
      <c r="AD18" s="91"/>
      <c r="AE18" s="92"/>
      <c r="AF18" s="91"/>
      <c r="AG18" s="91"/>
      <c r="AH18" s="91"/>
      <c r="AI18" s="91"/>
      <c r="AJ18" s="91"/>
      <c r="AK18" s="91"/>
      <c r="AL18" s="91"/>
      <c r="AM18" s="91"/>
      <c r="AN18" s="91"/>
      <c r="AO18" s="91"/>
      <c r="AP18" s="91"/>
      <c r="AQ18" s="91"/>
      <c r="AR18" s="91"/>
      <c r="AS18" s="91"/>
    </row>
    <row r="19" spans="1:45" ht="15.5" x14ac:dyDescent="0.35">
      <c r="A19" s="94" t="s">
        <v>157</v>
      </c>
      <c r="B19" s="94" t="s">
        <v>2</v>
      </c>
      <c r="C19" s="91">
        <v>72189.909251881356</v>
      </c>
      <c r="D19" s="94">
        <v>2733</v>
      </c>
      <c r="E19" s="94">
        <v>5221</v>
      </c>
      <c r="F19" s="94">
        <v>756</v>
      </c>
      <c r="G19" s="94">
        <v>3214</v>
      </c>
      <c r="H19" s="94">
        <v>3132</v>
      </c>
      <c r="I19" s="94">
        <v>35317.909251881363</v>
      </c>
      <c r="J19" s="94">
        <v>21780</v>
      </c>
      <c r="K19" s="99">
        <v>66667</v>
      </c>
      <c r="L19" s="91">
        <v>2382</v>
      </c>
      <c r="M19" s="91">
        <v>5011</v>
      </c>
      <c r="N19" s="91">
        <v>837</v>
      </c>
      <c r="O19" s="91">
        <v>3085</v>
      </c>
      <c r="P19" s="91">
        <v>2971</v>
      </c>
      <c r="Q19" s="91">
        <v>52329</v>
      </c>
      <c r="R19" s="92"/>
      <c r="S19" s="91"/>
      <c r="T19" s="91"/>
      <c r="U19" s="91"/>
      <c r="V19" s="92"/>
      <c r="W19" s="92"/>
      <c r="X19" s="92"/>
      <c r="Y19" s="91"/>
      <c r="Z19" s="92"/>
      <c r="AA19" s="91"/>
      <c r="AB19" s="91"/>
      <c r="AC19" s="91"/>
      <c r="AD19" s="91"/>
      <c r="AE19" s="92"/>
      <c r="AF19" s="91"/>
      <c r="AG19" s="91"/>
      <c r="AH19" s="91"/>
      <c r="AI19" s="91"/>
      <c r="AJ19" s="91"/>
      <c r="AK19" s="91"/>
      <c r="AL19" s="91"/>
      <c r="AM19" s="91"/>
      <c r="AN19" s="91"/>
      <c r="AO19" s="91"/>
      <c r="AP19" s="91"/>
      <c r="AQ19" s="91"/>
      <c r="AR19" s="91"/>
      <c r="AS19" s="91"/>
    </row>
    <row r="20" spans="1:45" ht="15.5" x14ac:dyDescent="0.35">
      <c r="A20" s="94" t="s">
        <v>158</v>
      </c>
      <c r="B20" s="94" t="s">
        <v>2</v>
      </c>
      <c r="C20" s="91">
        <v>23151.875608676404</v>
      </c>
      <c r="D20" s="94">
        <v>705</v>
      </c>
      <c r="E20" s="94">
        <v>1486</v>
      </c>
      <c r="F20" s="94">
        <v>214</v>
      </c>
      <c r="G20" s="94">
        <v>1030</v>
      </c>
      <c r="H20" s="94">
        <v>868</v>
      </c>
      <c r="I20" s="94">
        <v>15458.875608676404</v>
      </c>
      <c r="J20" s="94">
        <v>3370</v>
      </c>
      <c r="K20" s="99">
        <v>21202</v>
      </c>
      <c r="L20" s="91">
        <v>614</v>
      </c>
      <c r="M20" s="91">
        <v>1458</v>
      </c>
      <c r="N20" s="91">
        <v>217</v>
      </c>
      <c r="O20" s="91">
        <v>991</v>
      </c>
      <c r="P20" s="91">
        <v>842</v>
      </c>
      <c r="Q20" s="91">
        <v>17060</v>
      </c>
      <c r="R20" s="92"/>
      <c r="S20" s="91"/>
      <c r="T20" s="91"/>
      <c r="U20" s="91"/>
      <c r="V20" s="91"/>
      <c r="W20" s="91"/>
      <c r="X20" s="91"/>
      <c r="Y20" s="91"/>
      <c r="Z20" s="92"/>
      <c r="AA20" s="91"/>
      <c r="AB20" s="91"/>
      <c r="AC20" s="91"/>
      <c r="AD20" s="91"/>
      <c r="AE20" s="91"/>
      <c r="AF20" s="92"/>
      <c r="AG20" s="91"/>
      <c r="AH20" s="91"/>
      <c r="AI20" s="91"/>
      <c r="AJ20" s="91"/>
      <c r="AK20" s="91"/>
      <c r="AL20" s="91"/>
      <c r="AM20" s="92"/>
      <c r="AN20" s="91"/>
      <c r="AO20" s="91"/>
      <c r="AP20" s="91"/>
      <c r="AQ20" s="91"/>
      <c r="AR20" s="91"/>
      <c r="AS20" s="91"/>
    </row>
    <row r="21" spans="1:45" ht="15.5" x14ac:dyDescent="0.35">
      <c r="A21" s="94"/>
      <c r="B21" s="94"/>
      <c r="C21" s="94"/>
      <c r="D21" s="94"/>
      <c r="E21" s="94"/>
      <c r="F21" s="94"/>
      <c r="G21" s="94"/>
      <c r="H21" s="94"/>
      <c r="I21" s="94"/>
      <c r="J21" s="94"/>
      <c r="K21" s="99"/>
      <c r="L21" s="91"/>
      <c r="M21" s="91"/>
      <c r="N21" s="91"/>
      <c r="O21" s="91"/>
      <c r="P21" s="91"/>
      <c r="Q21" s="91"/>
      <c r="R21" s="92"/>
      <c r="S21" s="91"/>
      <c r="T21" s="91"/>
      <c r="U21" s="91"/>
      <c r="V21" s="91"/>
      <c r="W21" s="91"/>
      <c r="X21" s="91"/>
      <c r="Y21" s="91"/>
      <c r="Z21" s="92"/>
      <c r="AA21" s="91"/>
      <c r="AB21" s="91"/>
      <c r="AC21" s="91"/>
      <c r="AD21" s="91"/>
      <c r="AE21" s="91"/>
      <c r="AF21" s="92"/>
      <c r="AG21" s="91"/>
      <c r="AH21" s="91"/>
      <c r="AI21" s="91"/>
      <c r="AJ21" s="91"/>
      <c r="AK21" s="91"/>
      <c r="AL21" s="91"/>
      <c r="AM21" s="92"/>
      <c r="AN21" s="91"/>
      <c r="AO21" s="91"/>
      <c r="AP21" s="91"/>
      <c r="AQ21" s="91"/>
      <c r="AR21" s="91"/>
      <c r="AS21" s="91"/>
    </row>
    <row r="22" spans="1:45" ht="15.5" x14ac:dyDescent="0.35">
      <c r="A22" s="93" t="s">
        <v>222</v>
      </c>
      <c r="B22" s="94"/>
      <c r="C22" s="94"/>
      <c r="D22" s="94"/>
      <c r="E22" s="94"/>
      <c r="F22" s="94"/>
      <c r="G22" s="94"/>
      <c r="H22" s="94"/>
      <c r="I22" s="94"/>
      <c r="J22" s="94"/>
      <c r="K22" s="99">
        <v>0</v>
      </c>
      <c r="L22" s="91">
        <v>0</v>
      </c>
      <c r="M22" s="91">
        <v>0</v>
      </c>
      <c r="N22" s="91">
        <v>0</v>
      </c>
      <c r="O22" s="91">
        <v>0</v>
      </c>
      <c r="P22" s="91">
        <v>0</v>
      </c>
      <c r="Q22" s="91">
        <v>0</v>
      </c>
      <c r="R22" s="92"/>
      <c r="S22" s="91"/>
      <c r="T22" s="91"/>
      <c r="U22" s="91"/>
      <c r="V22" s="91"/>
      <c r="W22" s="91"/>
      <c r="X22" s="91"/>
      <c r="Y22" s="91"/>
      <c r="Z22" s="92"/>
      <c r="AA22" s="91"/>
      <c r="AB22" s="91"/>
      <c r="AC22" s="91"/>
      <c r="AD22" s="91"/>
      <c r="AE22" s="91"/>
      <c r="AF22" s="91"/>
      <c r="AG22" s="91"/>
      <c r="AH22" s="91"/>
      <c r="AI22" s="91"/>
      <c r="AJ22" s="91"/>
      <c r="AK22" s="91"/>
      <c r="AL22" s="91"/>
      <c r="AM22" s="91"/>
      <c r="AN22" s="91">
        <v>0</v>
      </c>
      <c r="AO22" s="91">
        <v>0</v>
      </c>
      <c r="AP22" s="91">
        <v>0</v>
      </c>
      <c r="AQ22" s="91">
        <v>0</v>
      </c>
      <c r="AR22" s="91">
        <v>0</v>
      </c>
      <c r="AS22" s="91">
        <v>0</v>
      </c>
    </row>
    <row r="23" spans="1:45" ht="15.5" x14ac:dyDescent="0.35">
      <c r="A23" s="94" t="s">
        <v>220</v>
      </c>
      <c r="B23" s="94" t="s">
        <v>2</v>
      </c>
      <c r="C23" s="94">
        <v>3041</v>
      </c>
      <c r="D23" s="94">
        <v>7</v>
      </c>
      <c r="E23" s="94">
        <v>1493</v>
      </c>
      <c r="F23" s="94">
        <v>0</v>
      </c>
      <c r="G23" s="94">
        <v>544</v>
      </c>
      <c r="H23" s="94">
        <v>32</v>
      </c>
      <c r="I23" s="94">
        <v>420</v>
      </c>
      <c r="J23" s="94">
        <v>545</v>
      </c>
      <c r="K23" s="99">
        <v>1305</v>
      </c>
      <c r="L23" s="91">
        <v>20</v>
      </c>
      <c r="M23" s="91">
        <v>398</v>
      </c>
      <c r="N23" s="91">
        <v>26</v>
      </c>
      <c r="O23" s="91">
        <v>118</v>
      </c>
      <c r="P23" s="91">
        <v>64</v>
      </c>
      <c r="Q23" s="91">
        <v>679</v>
      </c>
      <c r="R23" s="92">
        <v>1940.7966220999999</v>
      </c>
      <c r="S23" s="91">
        <v>18</v>
      </c>
      <c r="T23" s="91">
        <v>439.65</v>
      </c>
      <c r="U23" s="91">
        <v>0</v>
      </c>
      <c r="V23" s="91">
        <v>259.1466221</v>
      </c>
      <c r="W23" s="91">
        <v>58</v>
      </c>
      <c r="X23" s="91">
        <v>1166</v>
      </c>
      <c r="Y23" s="91">
        <v>2414.0500000000002</v>
      </c>
      <c r="Z23" s="92">
        <v>65</v>
      </c>
      <c r="AA23" s="91">
        <f>580.8-48</f>
        <v>532.79999999999995</v>
      </c>
      <c r="AB23" s="91">
        <v>3</v>
      </c>
      <c r="AC23" s="91">
        <f>246.25+48</f>
        <v>294.25</v>
      </c>
      <c r="AD23" s="91">
        <v>53</v>
      </c>
      <c r="AE23" s="91">
        <v>1422</v>
      </c>
      <c r="AF23" s="92">
        <v>2800.12</v>
      </c>
      <c r="AG23" s="91">
        <v>126.5</v>
      </c>
      <c r="AH23" s="91">
        <v>477</v>
      </c>
      <c r="AI23" s="91">
        <v>5</v>
      </c>
      <c r="AJ23" s="91">
        <v>248.77</v>
      </c>
      <c r="AK23" s="91">
        <v>77</v>
      </c>
      <c r="AL23" s="91">
        <v>1862.85</v>
      </c>
      <c r="AM23" s="92">
        <v>1677</v>
      </c>
      <c r="AN23" s="91">
        <v>19</v>
      </c>
      <c r="AO23" s="91">
        <v>93</v>
      </c>
      <c r="AP23" s="91">
        <v>0</v>
      </c>
      <c r="AQ23" s="91">
        <v>647</v>
      </c>
      <c r="AR23" s="91">
        <v>63</v>
      </c>
      <c r="AS23" s="91">
        <v>693</v>
      </c>
    </row>
    <row r="24" spans="1:45" ht="15.5" x14ac:dyDescent="0.35">
      <c r="A24" s="94" t="s">
        <v>221</v>
      </c>
      <c r="B24" s="94" t="s">
        <v>2</v>
      </c>
      <c r="C24" s="94">
        <v>140</v>
      </c>
      <c r="D24" s="94">
        <v>0</v>
      </c>
      <c r="E24" s="94">
        <v>0</v>
      </c>
      <c r="F24" s="94">
        <v>0</v>
      </c>
      <c r="G24" s="94">
        <v>88</v>
      </c>
      <c r="H24" s="94">
        <v>46</v>
      </c>
      <c r="I24" s="94">
        <v>1</v>
      </c>
      <c r="J24" s="94">
        <v>5</v>
      </c>
      <c r="K24" s="99">
        <v>18</v>
      </c>
      <c r="L24" s="91">
        <v>0</v>
      </c>
      <c r="M24" s="91">
        <v>0</v>
      </c>
      <c r="N24" s="91">
        <v>0</v>
      </c>
      <c r="O24" s="91">
        <v>3</v>
      </c>
      <c r="P24" s="91">
        <v>15</v>
      </c>
      <c r="Q24" s="91">
        <v>0</v>
      </c>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row>
    <row r="25" spans="1:45" ht="15.5" x14ac:dyDescent="0.35">
      <c r="A25" s="94" t="s">
        <v>159</v>
      </c>
      <c r="B25" s="94" t="s">
        <v>2</v>
      </c>
      <c r="C25" s="94">
        <v>226975874.15448004</v>
      </c>
      <c r="D25" s="94">
        <v>8441678.5200000014</v>
      </c>
      <c r="E25" s="94">
        <v>15993715.489999998</v>
      </c>
      <c r="F25" s="94">
        <v>1684970</v>
      </c>
      <c r="G25" s="94">
        <v>9897640</v>
      </c>
      <c r="H25" s="94">
        <v>8680152.2832800001</v>
      </c>
      <c r="I25" s="94">
        <v>104944739.53</v>
      </c>
      <c r="J25" s="94">
        <v>77218416.331200004</v>
      </c>
      <c r="K25" s="99">
        <v>231005670.71000001</v>
      </c>
      <c r="L25" s="91">
        <v>8663135</v>
      </c>
      <c r="M25" s="91">
        <v>16374436.77</v>
      </c>
      <c r="N25" s="91">
        <v>2671808</v>
      </c>
      <c r="O25" s="91">
        <v>10735265.119999995</v>
      </c>
      <c r="P25" s="91">
        <v>9734296.3000000007</v>
      </c>
      <c r="Q25" s="91">
        <v>182679987.52000001</v>
      </c>
      <c r="R25" s="92">
        <v>233681020.26025659</v>
      </c>
      <c r="S25" s="91">
        <v>13527137</v>
      </c>
      <c r="T25" s="91">
        <v>15417881.442706665</v>
      </c>
      <c r="U25" s="91">
        <v>3454438</v>
      </c>
      <c r="V25" s="91">
        <v>12689257.02</v>
      </c>
      <c r="W25" s="91">
        <v>12198834.794100001</v>
      </c>
      <c r="X25" s="91">
        <v>175200196.7034499</v>
      </c>
      <c r="Y25" s="91">
        <v>252905249.25599965</v>
      </c>
      <c r="Z25" s="91">
        <v>19570992</v>
      </c>
      <c r="AA25" s="91">
        <f>19101889.58-1240485+485223</f>
        <v>18346627.579999998</v>
      </c>
      <c r="AB25" s="91">
        <v>3347309.4699999997</v>
      </c>
      <c r="AC25" s="91">
        <f>12918677+1240485</f>
        <v>14159162</v>
      </c>
      <c r="AD25" s="91">
        <v>14158602.756000001</v>
      </c>
      <c r="AE25" s="91">
        <f>179328651.4-285223</f>
        <v>179043428.40000001</v>
      </c>
      <c r="AF25" s="92">
        <v>260927805.54350001</v>
      </c>
      <c r="AG25" s="91">
        <v>13117104</v>
      </c>
      <c r="AH25" s="91">
        <v>16961247.588500001</v>
      </c>
      <c r="AI25" s="91">
        <v>4629988.66</v>
      </c>
      <c r="AJ25" s="91">
        <v>16964753.129999999</v>
      </c>
      <c r="AK25" s="91">
        <v>14382791.540000001</v>
      </c>
      <c r="AL25" s="91">
        <v>193440478.625</v>
      </c>
      <c r="AM25" s="92">
        <v>262648528.28999999</v>
      </c>
      <c r="AN25" s="91">
        <v>13540494</v>
      </c>
      <c r="AO25" s="91">
        <v>13506641</v>
      </c>
      <c r="AP25" s="91">
        <v>3064427.5</v>
      </c>
      <c r="AQ25" s="91">
        <v>13320331</v>
      </c>
      <c r="AR25" s="91">
        <v>14330262</v>
      </c>
      <c r="AS25" s="91">
        <v>196972242</v>
      </c>
    </row>
    <row r="26" spans="1:45" ht="15.5" x14ac:dyDescent="0.35">
      <c r="A26" s="94" t="s">
        <v>160</v>
      </c>
      <c r="B26" s="94" t="s">
        <v>2</v>
      </c>
      <c r="C26" s="94">
        <v>7173314.4327400001</v>
      </c>
      <c r="D26" s="94">
        <v>1182118.69</v>
      </c>
      <c r="E26" s="94">
        <v>117995.64000000001</v>
      </c>
      <c r="F26" s="94">
        <v>61066.36</v>
      </c>
      <c r="G26" s="94">
        <v>667989</v>
      </c>
      <c r="H26" s="94">
        <v>4691171.0467400001</v>
      </c>
      <c r="I26" s="94">
        <v>0</v>
      </c>
      <c r="J26" s="94">
        <v>450301.696</v>
      </c>
      <c r="K26" s="99">
        <v>4844483.3599999994</v>
      </c>
      <c r="L26" s="91">
        <v>904760</v>
      </c>
      <c r="M26" s="91">
        <v>21692</v>
      </c>
      <c r="N26" s="91">
        <v>5205.95</v>
      </c>
      <c r="O26" s="91">
        <v>202115.57</v>
      </c>
      <c r="P26" s="91">
        <v>3403242</v>
      </c>
      <c r="Q26" s="91">
        <v>299952.84000000003</v>
      </c>
      <c r="R26" s="91"/>
      <c r="S26" s="91"/>
      <c r="T26" s="91"/>
      <c r="U26" s="91"/>
      <c r="V26" s="91"/>
      <c r="W26" s="91"/>
      <c r="X26" s="91"/>
      <c r="Y26" s="91"/>
      <c r="Z26" s="92"/>
      <c r="AA26" s="91"/>
      <c r="AB26" s="91"/>
      <c r="AC26" s="91"/>
      <c r="AD26" s="91"/>
      <c r="AE26" s="91"/>
      <c r="AF26" s="91"/>
      <c r="AG26" s="91"/>
      <c r="AH26" s="91"/>
      <c r="AI26" s="91"/>
      <c r="AJ26" s="91"/>
      <c r="AK26" s="91"/>
      <c r="AL26" s="91"/>
      <c r="AM26" s="91"/>
      <c r="AN26" s="91">
        <v>0</v>
      </c>
      <c r="AO26" s="91">
        <v>0</v>
      </c>
      <c r="AP26" s="91">
        <v>0</v>
      </c>
      <c r="AQ26" s="91">
        <v>0</v>
      </c>
      <c r="AR26" s="91">
        <v>0</v>
      </c>
      <c r="AS26" s="91">
        <v>0</v>
      </c>
    </row>
    <row r="27" spans="1:45" ht="15.5" x14ac:dyDescent="0.35">
      <c r="A27" s="91" t="s">
        <v>3</v>
      </c>
      <c r="B27" s="92" t="s">
        <v>2</v>
      </c>
      <c r="C27" s="92">
        <v>2.7170711281923445</v>
      </c>
      <c r="D27" s="175">
        <v>0.14547272448189916</v>
      </c>
      <c r="E27" s="175">
        <v>18.533102883405533</v>
      </c>
      <c r="F27" s="175">
        <v>0</v>
      </c>
      <c r="G27" s="175">
        <v>11.963319931070833</v>
      </c>
      <c r="H27" s="175">
        <v>1.1666758491267946</v>
      </c>
      <c r="I27" s="175">
        <v>0.80232701874428103</v>
      </c>
      <c r="J27" s="175">
        <v>1.4162716057895717</v>
      </c>
      <c r="K27" s="97">
        <v>1.1218987795168753</v>
      </c>
      <c r="L27" s="97">
        <v>0.41806478854544288</v>
      </c>
      <c r="M27" s="97">
        <v>4.8548045161516509</v>
      </c>
      <c r="N27" s="97">
        <v>1.9424627951602567</v>
      </c>
      <c r="O27" s="97">
        <v>2.2125955643224491</v>
      </c>
      <c r="P27" s="97">
        <v>1.2026606232615131</v>
      </c>
      <c r="Q27" s="97">
        <v>0.74215785475076201</v>
      </c>
      <c r="R27" s="97">
        <v>1.6610648309721385</v>
      </c>
      <c r="S27" s="97">
        <v>0.26613170251768725</v>
      </c>
      <c r="T27" s="97">
        <v>5.7031181830493809</v>
      </c>
      <c r="U27" s="97">
        <v>0</v>
      </c>
      <c r="V27" s="97">
        <v>4.084504265167765</v>
      </c>
      <c r="W27" s="97">
        <v>0.95091049233738045</v>
      </c>
      <c r="X27" s="97">
        <v>1.3310487338933907</v>
      </c>
      <c r="Y27" s="97">
        <v>1.9090548789332666</v>
      </c>
      <c r="Z27" s="97">
        <v>0.66424839374519185</v>
      </c>
      <c r="AA27" s="97">
        <f>AA23/(AA25/200000)</f>
        <v>5.8081519088643319</v>
      </c>
      <c r="AB27" s="97">
        <v>0.1792484397924522</v>
      </c>
      <c r="AC27" s="97">
        <f>AC23/(AC25/200000)</f>
        <v>4.1563194205984786</v>
      </c>
      <c r="AD27" s="97">
        <v>0.74866144510679411</v>
      </c>
      <c r="AE27" s="97">
        <f>AE23/(AE25/200000)</f>
        <v>1.5884414331288574</v>
      </c>
      <c r="AF27" s="97">
        <v>2.1462794999310137</v>
      </c>
      <c r="AG27" s="97">
        <v>1.9287794013068738</v>
      </c>
      <c r="AH27" s="97">
        <v>5.6245862518204577</v>
      </c>
      <c r="AI27" s="97">
        <v>0.21598325037798258</v>
      </c>
      <c r="AJ27" s="97">
        <v>2.9327865615690221</v>
      </c>
      <c r="AK27" s="97">
        <v>1.0707239938207431</v>
      </c>
      <c r="AL27" s="97">
        <v>1.926018807688421</v>
      </c>
      <c r="AM27" s="97">
        <v>1.2769917356234808</v>
      </c>
      <c r="AN27" s="97">
        <v>0.28063968714878496</v>
      </c>
      <c r="AO27" s="97">
        <v>1.3771003464147749</v>
      </c>
      <c r="AP27" s="97">
        <v>0</v>
      </c>
      <c r="AQ27" s="97">
        <v>9.7144733115115542</v>
      </c>
      <c r="AR27" s="97">
        <v>0.87925817406548468</v>
      </c>
      <c r="AS27" s="97">
        <v>0.70365244662240278</v>
      </c>
    </row>
    <row r="28" spans="1:45" ht="15.5" x14ac:dyDescent="0.35">
      <c r="A28" s="94" t="s">
        <v>161</v>
      </c>
      <c r="B28" s="94" t="s">
        <v>2</v>
      </c>
      <c r="C28" s="94">
        <v>11</v>
      </c>
      <c r="D28" s="94">
        <v>0</v>
      </c>
      <c r="E28" s="94">
        <v>0</v>
      </c>
      <c r="F28" s="94">
        <v>0</v>
      </c>
      <c r="G28" s="94">
        <v>0</v>
      </c>
      <c r="H28" s="94">
        <v>2</v>
      </c>
      <c r="I28" s="94">
        <v>1</v>
      </c>
      <c r="J28" s="94">
        <v>8</v>
      </c>
      <c r="K28" s="99">
        <v>2</v>
      </c>
      <c r="L28" s="91">
        <v>0</v>
      </c>
      <c r="M28" s="91">
        <v>0</v>
      </c>
      <c r="N28" s="91">
        <v>0</v>
      </c>
      <c r="O28" s="91">
        <v>0</v>
      </c>
      <c r="P28" s="91">
        <v>1</v>
      </c>
      <c r="Q28" s="91">
        <v>1</v>
      </c>
      <c r="R28" s="92">
        <v>5</v>
      </c>
      <c r="S28" s="91">
        <v>0</v>
      </c>
      <c r="T28" s="91">
        <v>1</v>
      </c>
      <c r="U28" s="91">
        <v>0</v>
      </c>
      <c r="V28" s="91">
        <v>0</v>
      </c>
      <c r="W28" s="91">
        <v>0</v>
      </c>
      <c r="X28" s="91">
        <v>4</v>
      </c>
      <c r="Y28" s="91">
        <v>4</v>
      </c>
      <c r="Z28" s="92">
        <v>1</v>
      </c>
      <c r="AA28" s="91">
        <v>0</v>
      </c>
      <c r="AB28" s="91">
        <v>0</v>
      </c>
      <c r="AC28" s="91">
        <v>0</v>
      </c>
      <c r="AD28" s="91">
        <v>0</v>
      </c>
      <c r="AE28" s="91">
        <v>2</v>
      </c>
      <c r="AF28" s="91">
        <v>9</v>
      </c>
      <c r="AG28" s="91">
        <v>0</v>
      </c>
      <c r="AH28" s="91">
        <v>2</v>
      </c>
      <c r="AI28" s="91">
        <v>0</v>
      </c>
      <c r="AJ28" s="91">
        <v>2</v>
      </c>
      <c r="AK28" s="91">
        <v>1</v>
      </c>
      <c r="AL28" s="91">
        <v>4</v>
      </c>
      <c r="AM28" s="92">
        <v>11</v>
      </c>
      <c r="AN28" s="91">
        <v>0</v>
      </c>
      <c r="AO28" s="91">
        <v>0</v>
      </c>
      <c r="AP28" s="91">
        <v>0</v>
      </c>
      <c r="AQ28" s="91">
        <v>1</v>
      </c>
      <c r="AR28" s="91">
        <v>2</v>
      </c>
      <c r="AS28" s="91">
        <v>8</v>
      </c>
    </row>
    <row r="29" spans="1:45" ht="15.5" x14ac:dyDescent="0.35">
      <c r="A29" s="94" t="s">
        <v>162</v>
      </c>
      <c r="B29" s="94" t="s">
        <v>2</v>
      </c>
      <c r="C29" s="94">
        <v>0</v>
      </c>
      <c r="D29" s="94">
        <v>0</v>
      </c>
      <c r="E29" s="94">
        <v>0</v>
      </c>
      <c r="F29" s="94">
        <v>0</v>
      </c>
      <c r="G29" s="94">
        <v>0</v>
      </c>
      <c r="H29" s="94">
        <v>0</v>
      </c>
      <c r="I29" s="94">
        <v>0</v>
      </c>
      <c r="J29" s="94">
        <v>0</v>
      </c>
      <c r="K29" s="99">
        <v>1</v>
      </c>
      <c r="L29" s="91">
        <v>1</v>
      </c>
      <c r="M29" s="91">
        <v>0</v>
      </c>
      <c r="N29" s="91">
        <v>0</v>
      </c>
      <c r="O29" s="91">
        <v>0</v>
      </c>
      <c r="P29" s="91">
        <v>0</v>
      </c>
      <c r="Q29" s="91">
        <v>0</v>
      </c>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row>
    <row r="30" spans="1:45" ht="15.5" x14ac:dyDescent="0.35">
      <c r="A30" s="94" t="s">
        <v>163</v>
      </c>
      <c r="B30" s="94" t="s">
        <v>2</v>
      </c>
      <c r="C30" s="94">
        <v>77</v>
      </c>
      <c r="D30" s="94">
        <v>0</v>
      </c>
      <c r="E30" s="94">
        <v>3</v>
      </c>
      <c r="F30" s="94">
        <v>2</v>
      </c>
      <c r="G30" s="94">
        <v>2</v>
      </c>
      <c r="H30" s="94">
        <v>0</v>
      </c>
      <c r="I30" s="94">
        <v>17</v>
      </c>
      <c r="J30" s="94">
        <v>53</v>
      </c>
      <c r="K30" s="99">
        <v>87</v>
      </c>
      <c r="L30" s="91">
        <v>2</v>
      </c>
      <c r="M30" s="91">
        <v>8</v>
      </c>
      <c r="N30" s="91">
        <v>2</v>
      </c>
      <c r="O30" s="91">
        <v>1</v>
      </c>
      <c r="P30" s="91">
        <v>1</v>
      </c>
      <c r="Q30" s="91">
        <v>72</v>
      </c>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row>
    <row r="31" spans="1:45" ht="15.5" x14ac:dyDescent="0.35">
      <c r="A31" s="94" t="s">
        <v>164</v>
      </c>
      <c r="B31" s="94" t="s">
        <v>2</v>
      </c>
      <c r="C31" s="94">
        <v>90181</v>
      </c>
      <c r="D31" s="94">
        <v>213</v>
      </c>
      <c r="E31" s="94">
        <v>2086</v>
      </c>
      <c r="F31" s="94">
        <v>537</v>
      </c>
      <c r="G31" s="94">
        <v>444</v>
      </c>
      <c r="H31" s="94">
        <v>24315</v>
      </c>
      <c r="I31" s="94">
        <v>43670</v>
      </c>
      <c r="J31" s="94">
        <v>18909</v>
      </c>
      <c r="K31" s="99">
        <v>14103</v>
      </c>
      <c r="L31" s="91">
        <v>139</v>
      </c>
      <c r="M31" s="91">
        <v>638</v>
      </c>
      <c r="N31" s="91">
        <v>289</v>
      </c>
      <c r="O31" s="91">
        <v>645</v>
      </c>
      <c r="P31" s="91">
        <v>1433</v>
      </c>
      <c r="Q31" s="91">
        <v>10959</v>
      </c>
      <c r="R31" s="92"/>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row>
    <row r="32" spans="1:45" ht="15.5" x14ac:dyDescent="0.35">
      <c r="A32" s="94" t="s">
        <v>165</v>
      </c>
      <c r="B32" s="94" t="s">
        <v>2</v>
      </c>
      <c r="C32" s="94">
        <v>51308</v>
      </c>
      <c r="D32" s="94">
        <v>31</v>
      </c>
      <c r="E32" s="94">
        <v>45</v>
      </c>
      <c r="F32" s="94">
        <v>6</v>
      </c>
      <c r="G32" s="94">
        <v>31</v>
      </c>
      <c r="H32" s="94">
        <v>49699</v>
      </c>
      <c r="I32" s="94">
        <v>1472</v>
      </c>
      <c r="J32" s="94">
        <v>24</v>
      </c>
      <c r="K32" s="99">
        <v>4532</v>
      </c>
      <c r="L32" s="91">
        <v>0</v>
      </c>
      <c r="M32" s="91">
        <v>11</v>
      </c>
      <c r="N32" s="91">
        <v>0</v>
      </c>
      <c r="O32" s="91">
        <v>12</v>
      </c>
      <c r="P32" s="91">
        <v>4191</v>
      </c>
      <c r="Q32" s="91">
        <v>318</v>
      </c>
      <c r="R32" s="91"/>
      <c r="S32" s="91"/>
      <c r="T32" s="91"/>
      <c r="U32" s="91"/>
      <c r="V32" s="91"/>
      <c r="W32" s="91"/>
      <c r="X32" s="91"/>
      <c r="Y32" s="91"/>
      <c r="Z32" s="91"/>
      <c r="AA32" s="91"/>
      <c r="AB32" s="91"/>
      <c r="AC32" s="91"/>
      <c r="AD32" s="91"/>
      <c r="AE32" s="91"/>
      <c r="AF32" s="91"/>
      <c r="AG32" s="91"/>
      <c r="AH32" s="91"/>
      <c r="AI32" s="91"/>
      <c r="AJ32" s="91"/>
      <c r="AK32" s="91"/>
      <c r="AL32" s="91"/>
      <c r="AM32" s="92"/>
      <c r="AN32" s="91"/>
      <c r="AO32" s="91"/>
      <c r="AP32" s="91"/>
      <c r="AQ32" s="91"/>
      <c r="AR32" s="91"/>
      <c r="AS32" s="9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Framework</vt:lpstr>
      <vt:lpstr>Emissions</vt:lpstr>
      <vt:lpstr>Water</vt:lpstr>
      <vt:lpstr>Waste</vt:lpstr>
      <vt:lpstr>Employees</vt:lpstr>
      <vt:lpstr>Framework!Print_Area</vt:lpstr>
      <vt:lpstr>Framework!Print_Titles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Roux</dc:creator>
  <cp:lastModifiedBy>Ilze Roux</cp:lastModifiedBy>
  <cp:lastPrinted>2022-08-23T15:05:47Z</cp:lastPrinted>
  <dcterms:created xsi:type="dcterms:W3CDTF">2021-10-21T13:45:58Z</dcterms:created>
  <dcterms:modified xsi:type="dcterms:W3CDTF">2023-05-02T08:53:13Z</dcterms:modified>
</cp:coreProperties>
</file>